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00" windowHeight="13170" activeTab="0"/>
  </bookViews>
  <sheets>
    <sheet name="Summary" sheetId="1" r:id="rId1"/>
    <sheet name="Passenger_Mode_Shares" sheetId="2" r:id="rId2"/>
    <sheet name="Passenger_Emissions" sheetId="3" r:id="rId3"/>
    <sheet name="Freight_Emissions" sheetId="4" r:id="rId4"/>
    <sheet name="Total_Emissions" sheetId="5" r:id="rId5"/>
    <sheet name="Total_Congestion" sheetId="6" r:id="rId6"/>
  </sheets>
  <definedNames/>
  <calcPr fullCalcOnLoad="1"/>
</workbook>
</file>

<file path=xl/sharedStrings.xml><?xml version="1.0" encoding="utf-8"?>
<sst xmlns="http://schemas.openxmlformats.org/spreadsheetml/2006/main" count="175" uniqueCount="92">
  <si>
    <t>Vehicle type</t>
  </si>
  <si>
    <t>HC</t>
  </si>
  <si>
    <t>CO</t>
  </si>
  <si>
    <t>NOx</t>
  </si>
  <si>
    <t>PM10</t>
  </si>
  <si>
    <t>SOx</t>
  </si>
  <si>
    <t>Taxi</t>
  </si>
  <si>
    <t>Colectivo</t>
  </si>
  <si>
    <t>Auto</t>
  </si>
  <si>
    <t>Diesel bus</t>
  </si>
  <si>
    <t>Mode share</t>
  </si>
  <si>
    <t>Population</t>
  </si>
  <si>
    <t>2005 Population</t>
  </si>
  <si>
    <t>Rate of Growth</t>
  </si>
  <si>
    <t>VKT</t>
  </si>
  <si>
    <t>Year</t>
  </si>
  <si>
    <t>Cost</t>
  </si>
  <si>
    <t>IVTT</t>
  </si>
  <si>
    <t>OVTT</t>
  </si>
  <si>
    <t>%</t>
  </si>
  <si>
    <t>utility</t>
  </si>
  <si>
    <t>TAXI</t>
  </si>
  <si>
    <t>COLECTIVO</t>
  </si>
  <si>
    <t>AUTO</t>
  </si>
  <si>
    <t>BUS</t>
  </si>
  <si>
    <t>METRO</t>
  </si>
  <si>
    <t>Capacity</t>
  </si>
  <si>
    <t>Excess VKT</t>
  </si>
  <si>
    <t>Capacity Growth Rate</t>
  </si>
  <si>
    <t>Total Cost</t>
  </si>
  <si>
    <t>2005-2008</t>
  </si>
  <si>
    <t>2009-2012</t>
  </si>
  <si>
    <t>2013-2016</t>
  </si>
  <si>
    <t>2017-2020</t>
  </si>
  <si>
    <t>TOTAL</t>
  </si>
  <si>
    <t>Given Data</t>
  </si>
  <si>
    <t>Utility</t>
  </si>
  <si>
    <t>Mode Share</t>
  </si>
  <si>
    <t>Avg. Cost</t>
  </si>
  <si>
    <t>Avg. IVTT</t>
  </si>
  <si>
    <t>Avg. OVTT</t>
  </si>
  <si>
    <t>Constant</t>
  </si>
  <si>
    <t>Bus</t>
  </si>
  <si>
    <t>Metro</t>
  </si>
  <si>
    <t>Total</t>
  </si>
  <si>
    <t>Year 2005 Average Cost</t>
  </si>
  <si>
    <t>Constants</t>
  </si>
  <si>
    <t>Annual Growth Rate</t>
  </si>
  <si>
    <t>Total Emissions (tonnes)</t>
  </si>
  <si>
    <t>Total PKT</t>
  </si>
  <si>
    <t>Total Passenger Emissions (grams)</t>
  </si>
  <si>
    <t>Total Passenger Emissions (tonnes)</t>
  </si>
  <si>
    <t>Annual PKT Growth Rate</t>
  </si>
  <si>
    <t>n/a</t>
  </si>
  <si>
    <t>2005 VKT</t>
  </si>
  <si>
    <t>Annual VKT Growth</t>
  </si>
  <si>
    <t>Light Duty Gas Truck (LDG)</t>
  </si>
  <si>
    <t>Heavy Duty Gas Truck (HDG)</t>
  </si>
  <si>
    <t>Heavy Duty Diesel Truck (HDD)</t>
  </si>
  <si>
    <t>Natural Gas Truck (NG)</t>
  </si>
  <si>
    <t>Railroad (RR)</t>
  </si>
  <si>
    <t>Total Freight Emissions (grams)</t>
  </si>
  <si>
    <t>Total Freight Emissions (tonnes)</t>
  </si>
  <si>
    <t>Mode</t>
  </si>
  <si>
    <t>Annual NG Growth</t>
  </si>
  <si>
    <t>Annual RR Growth, 2005-2015</t>
  </si>
  <si>
    <t>Annual RR Growth, 2016-2020</t>
  </si>
  <si>
    <t>Given</t>
  </si>
  <si>
    <t>Emission Factors (grams per km)</t>
  </si>
  <si>
    <t>Person-km (PKT)</t>
  </si>
  <si>
    <t>Persons per vehicle</t>
  </si>
  <si>
    <t>Vehicle-km (VKT)</t>
  </si>
  <si>
    <t>Emission Factors (grams per kilometer)</t>
  </si>
  <si>
    <t>Emissions (grams)</t>
  </si>
  <si>
    <t>Emission factor rate of decline</t>
  </si>
  <si>
    <t>Total Freight VKT</t>
  </si>
  <si>
    <t>Penalty Amount</t>
  </si>
  <si>
    <t>Penalty? (1 for Yes, 0 for No)</t>
  </si>
  <si>
    <t>Tonnage Limits</t>
  </si>
  <si>
    <t>Annual Penalty</t>
  </si>
  <si>
    <t>Passenger VKT Demand</t>
  </si>
  <si>
    <t>Freight VKT Demand</t>
  </si>
  <si>
    <t>Emissions (tonnes)</t>
  </si>
  <si>
    <t>Emissions Cost (penalty in dollars)</t>
  </si>
  <si>
    <t>Congestion cost (dollars)</t>
  </si>
  <si>
    <t>Passenger</t>
  </si>
  <si>
    <t>Freight</t>
  </si>
  <si>
    <t>Passenger: Excess TT (Hours)</t>
  </si>
  <si>
    <t>Passenger: Cost ($)</t>
  </si>
  <si>
    <t>Freight: Excess TT (Hours)</t>
  </si>
  <si>
    <t>Freight: Cost ($)</t>
  </si>
  <si>
    <t>Excess Travel Time (Hours)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</si>
</sst>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"/>
    <numFmt numFmtId="172" formatCode="0.00000"/>
    <numFmt numFmtId="173" formatCode="#,##0.000"/>
    <numFmt numFmtId="174" formatCode="[$-409]dddd\,\ mmmm\ dd\,\ yyyy"/>
    <numFmt numFmtId="175" formatCode="[$-409]h:mm:ss\ AM/PM"/>
    <numFmt numFmtId="176" formatCode="&quot;$&quot;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2" fontId="0" fillId="0" borderId="1" xfId="0" applyNumberFormat="1" applyBorder="1" applyAlignment="1">
      <alignment horizontal="centerContinuous"/>
    </xf>
    <xf numFmtId="2" fontId="0" fillId="0" borderId="6" xfId="0" applyNumberFormat="1" applyBorder="1" applyAlignment="1">
      <alignment horizontal="centerContinuous"/>
    </xf>
    <xf numFmtId="2" fontId="0" fillId="0" borderId="2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3" fontId="4" fillId="0" borderId="0" xfId="0" applyNumberFormat="1" applyFont="1" applyAlignment="1">
      <alignment/>
    </xf>
    <xf numFmtId="0" fontId="0" fillId="2" borderId="3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3" borderId="3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4" borderId="3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0" fillId="5" borderId="3" xfId="0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0" fontId="0" fillId="5" borderId="4" xfId="0" applyFill="1" applyBorder="1" applyAlignment="1">
      <alignment/>
    </xf>
    <xf numFmtId="3" fontId="0" fillId="5" borderId="7" xfId="0" applyNumberFormat="1" applyFill="1" applyBorder="1" applyAlignment="1">
      <alignment/>
    </xf>
    <xf numFmtId="3" fontId="0" fillId="5" borderId="8" xfId="0" applyNumberFormat="1" applyFill="1" applyBorder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171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/>
    </xf>
    <xf numFmtId="171" fontId="0" fillId="7" borderId="0" xfId="0" applyNumberFormat="1" applyFill="1" applyBorder="1" applyAlignment="1">
      <alignment/>
    </xf>
    <xf numFmtId="3" fontId="0" fillId="7" borderId="0" xfId="0" applyNumberFormat="1" applyFill="1" applyBorder="1" applyAlignment="1">
      <alignment/>
    </xf>
    <xf numFmtId="2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Alignment="1">
      <alignment/>
    </xf>
    <xf numFmtId="1" fontId="0" fillId="8" borderId="0" xfId="0" applyNumberFormat="1" applyFill="1" applyAlignment="1">
      <alignment/>
    </xf>
    <xf numFmtId="171" fontId="0" fillId="8" borderId="0" xfId="0" applyNumberFormat="1" applyFill="1" applyBorder="1" applyAlignment="1">
      <alignment/>
    </xf>
    <xf numFmtId="3" fontId="0" fillId="8" borderId="0" xfId="0" applyNumberFormat="1" applyFill="1" applyBorder="1" applyAlignment="1">
      <alignment/>
    </xf>
    <xf numFmtId="2" fontId="0" fillId="8" borderId="0" xfId="0" applyNumberFormat="1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170" fontId="0" fillId="9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70" fontId="0" fillId="3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70" fontId="0" fillId="5" borderId="0" xfId="0" applyNumberFormat="1" applyFill="1" applyAlignment="1">
      <alignment/>
    </xf>
    <xf numFmtId="170" fontId="0" fillId="5" borderId="0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10" borderId="0" xfId="0" applyFill="1" applyBorder="1" applyAlignment="1">
      <alignment/>
    </xf>
    <xf numFmtId="170" fontId="0" fillId="10" borderId="0" xfId="0" applyNumberFormat="1" applyFill="1" applyAlignment="1">
      <alignment/>
    </xf>
    <xf numFmtId="0" fontId="0" fillId="10" borderId="0" xfId="0" applyFill="1" applyAlignment="1">
      <alignment/>
    </xf>
    <xf numFmtId="170" fontId="0" fillId="9" borderId="0" xfId="0" applyNumberFormat="1" applyFill="1" applyAlignment="1">
      <alignment/>
    </xf>
    <xf numFmtId="0" fontId="0" fillId="9" borderId="0" xfId="0" applyFill="1" applyAlignment="1">
      <alignment/>
    </xf>
    <xf numFmtId="0" fontId="0" fillId="11" borderId="0" xfId="0" applyFill="1" applyBorder="1" applyAlignment="1">
      <alignment/>
    </xf>
    <xf numFmtId="170" fontId="0" fillId="11" borderId="6" xfId="0" applyNumberFormat="1" applyFill="1" applyBorder="1" applyAlignment="1">
      <alignment/>
    </xf>
    <xf numFmtId="0" fontId="0" fillId="11" borderId="6" xfId="0" applyFont="1" applyFill="1" applyBorder="1" applyAlignment="1">
      <alignment horizontal="right"/>
    </xf>
    <xf numFmtId="0" fontId="0" fillId="11" borderId="6" xfId="0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70" fontId="0" fillId="11" borderId="0" xfId="0" applyNumberFormat="1" applyFill="1" applyBorder="1" applyAlignment="1">
      <alignment/>
    </xf>
    <xf numFmtId="0" fontId="0" fillId="11" borderId="0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/>
    </xf>
    <xf numFmtId="170" fontId="0" fillId="11" borderId="7" xfId="0" applyNumberFormat="1" applyFill="1" applyBorder="1" applyAlignment="1">
      <alignment/>
    </xf>
    <xf numFmtId="0" fontId="0" fillId="11" borderId="7" xfId="0" applyFont="1" applyFill="1" applyBorder="1" applyAlignment="1">
      <alignment horizontal="right"/>
    </xf>
    <xf numFmtId="0" fontId="0" fillId="11" borderId="7" xfId="0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3" fontId="0" fillId="11" borderId="0" xfId="0" applyNumberFormat="1" applyFill="1" applyBorder="1" applyAlignment="1">
      <alignment/>
    </xf>
    <xf numFmtId="3" fontId="0" fillId="11" borderId="7" xfId="0" applyNumberFormat="1" applyFill="1" applyBorder="1" applyAlignment="1">
      <alignment/>
    </xf>
    <xf numFmtId="3" fontId="0" fillId="9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0" fillId="10" borderId="0" xfId="0" applyNumberFormat="1" applyFont="1" applyFill="1" applyBorder="1" applyAlignment="1">
      <alignment horizontal="right"/>
    </xf>
    <xf numFmtId="3" fontId="0" fillId="9" borderId="0" xfId="0" applyNumberFormat="1" applyFill="1" applyBorder="1" applyAlignment="1">
      <alignment/>
    </xf>
    <xf numFmtId="3" fontId="0" fillId="10" borderId="0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3" fontId="0" fillId="12" borderId="7" xfId="0" applyNumberFormat="1" applyFill="1" applyBorder="1" applyAlignment="1">
      <alignment/>
    </xf>
    <xf numFmtId="3" fontId="0" fillId="12" borderId="8" xfId="0" applyNumberFormat="1" applyFill="1" applyBorder="1" applyAlignment="1">
      <alignment/>
    </xf>
    <xf numFmtId="3" fontId="0" fillId="0" borderId="8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3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7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0" fillId="13" borderId="1" xfId="0" applyFill="1" applyBorder="1" applyAlignment="1">
      <alignment/>
    </xf>
    <xf numFmtId="0" fontId="0" fillId="13" borderId="6" xfId="0" applyFill="1" applyBorder="1" applyAlignment="1">
      <alignment/>
    </xf>
    <xf numFmtId="0" fontId="0" fillId="13" borderId="2" xfId="0" applyFill="1" applyBorder="1" applyAlignment="1">
      <alignment/>
    </xf>
    <xf numFmtId="0" fontId="0" fillId="13" borderId="3" xfId="0" applyFill="1" applyBorder="1" applyAlignment="1">
      <alignment/>
    </xf>
    <xf numFmtId="0" fontId="0" fillId="13" borderId="0" xfId="0" applyFill="1" applyBorder="1" applyAlignment="1">
      <alignment/>
    </xf>
    <xf numFmtId="170" fontId="0" fillId="13" borderId="5" xfId="0" applyNumberFormat="1" applyFill="1" applyBorder="1" applyAlignment="1">
      <alignment/>
    </xf>
    <xf numFmtId="0" fontId="0" fillId="13" borderId="4" xfId="0" applyFill="1" applyBorder="1" applyAlignment="1">
      <alignment/>
    </xf>
    <xf numFmtId="0" fontId="0" fillId="13" borderId="7" xfId="0" applyFill="1" applyBorder="1" applyAlignment="1">
      <alignment/>
    </xf>
    <xf numFmtId="170" fontId="0" fillId="13" borderId="8" xfId="0" applyNumberFormat="1" applyFill="1" applyBorder="1" applyAlignment="1">
      <alignment/>
    </xf>
    <xf numFmtId="0" fontId="0" fillId="13" borderId="6" xfId="0" applyFill="1" applyBorder="1" applyAlignment="1">
      <alignment horizontal="centerContinuous"/>
    </xf>
    <xf numFmtId="0" fontId="0" fillId="13" borderId="2" xfId="0" applyFill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0" borderId="15" xfId="0" applyBorder="1" applyAlignment="1">
      <alignment/>
    </xf>
    <xf numFmtId="0" fontId="0" fillId="11" borderId="12" xfId="0" applyFill="1" applyBorder="1" applyAlignment="1">
      <alignment/>
    </xf>
    <xf numFmtId="0" fontId="0" fillId="13" borderId="6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5" xfId="0" applyFill="1" applyBorder="1" applyAlignment="1">
      <alignment/>
    </xf>
    <xf numFmtId="0" fontId="0" fillId="13" borderId="8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170" fontId="0" fillId="13" borderId="14" xfId="0" applyNumberFormat="1" applyFill="1" applyBorder="1" applyAlignment="1">
      <alignment/>
    </xf>
    <xf numFmtId="170" fontId="0" fillId="13" borderId="2" xfId="0" applyNumberFormat="1" applyFill="1" applyBorder="1" applyAlignment="1">
      <alignment/>
    </xf>
    <xf numFmtId="0" fontId="0" fillId="13" borderId="12" xfId="0" applyFill="1" applyBorder="1" applyAlignment="1">
      <alignment horizontal="center"/>
    </xf>
    <xf numFmtId="0" fontId="0" fillId="13" borderId="12" xfId="0" applyFill="1" applyBorder="1" applyAlignment="1">
      <alignment horizontal="centerContinuous"/>
    </xf>
    <xf numFmtId="0" fontId="0" fillId="13" borderId="14" xfId="0" applyFill="1" applyBorder="1" applyAlignment="1">
      <alignment horizontal="centerContinuous"/>
    </xf>
    <xf numFmtId="0" fontId="0" fillId="13" borderId="13" xfId="0" applyFill="1" applyBorder="1" applyAlignment="1">
      <alignment horizontal="centerContinuous"/>
    </xf>
    <xf numFmtId="0" fontId="0" fillId="13" borderId="9" xfId="0" applyFill="1" applyBorder="1" applyAlignment="1">
      <alignment horizontal="centerContinuous"/>
    </xf>
    <xf numFmtId="0" fontId="4" fillId="13" borderId="1" xfId="0" applyFont="1" applyFill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14" borderId="0" xfId="0" applyFill="1" applyBorder="1" applyAlignment="1">
      <alignment/>
    </xf>
    <xf numFmtId="1" fontId="0" fillId="14" borderId="0" xfId="0" applyNumberFormat="1" applyFill="1" applyAlignment="1">
      <alignment/>
    </xf>
    <xf numFmtId="171" fontId="0" fillId="14" borderId="0" xfId="0" applyNumberFormat="1" applyFill="1" applyBorder="1" applyAlignment="1">
      <alignment/>
    </xf>
    <xf numFmtId="3" fontId="0" fillId="14" borderId="0" xfId="0" applyNumberFormat="1" applyFill="1" applyBorder="1" applyAlignment="1">
      <alignment/>
    </xf>
    <xf numFmtId="2" fontId="0" fillId="14" borderId="0" xfId="0" applyNumberFormat="1" applyFill="1" applyBorder="1" applyAlignment="1">
      <alignment/>
    </xf>
    <xf numFmtId="0" fontId="0" fillId="14" borderId="0" xfId="0" applyFill="1" applyAlignment="1">
      <alignment/>
    </xf>
    <xf numFmtId="3" fontId="0" fillId="11" borderId="6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1" fontId="0" fillId="11" borderId="1" xfId="0" applyNumberFormat="1" applyFill="1" applyBorder="1" applyAlignment="1">
      <alignment/>
    </xf>
    <xf numFmtId="0" fontId="0" fillId="11" borderId="2" xfId="0" applyFill="1" applyBorder="1" applyAlignment="1">
      <alignment/>
    </xf>
    <xf numFmtId="1" fontId="0" fillId="11" borderId="3" xfId="0" applyNumberFormat="1" applyFill="1" applyBorder="1" applyAlignment="1">
      <alignment/>
    </xf>
    <xf numFmtId="0" fontId="0" fillId="11" borderId="5" xfId="0" applyFill="1" applyBorder="1" applyAlignment="1">
      <alignment/>
    </xf>
    <xf numFmtId="1" fontId="0" fillId="11" borderId="4" xfId="0" applyNumberFormat="1" applyFill="1" applyBorder="1" applyAlignment="1">
      <alignment/>
    </xf>
    <xf numFmtId="0" fontId="0" fillId="11" borderId="8" xfId="0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0" fillId="14" borderId="3" xfId="0" applyNumberFormat="1" applyFill="1" applyBorder="1" applyAlignment="1">
      <alignment/>
    </xf>
    <xf numFmtId="172" fontId="0" fillId="14" borderId="5" xfId="0" applyNumberFormat="1" applyFill="1" applyBorder="1" applyAlignment="1">
      <alignment/>
    </xf>
    <xf numFmtId="2" fontId="0" fillId="6" borderId="3" xfId="0" applyNumberFormat="1" applyFill="1" applyBorder="1" applyAlignment="1">
      <alignment/>
    </xf>
    <xf numFmtId="172" fontId="0" fillId="6" borderId="5" xfId="0" applyNumberFormat="1" applyFill="1" applyBorder="1" applyAlignment="1">
      <alignment/>
    </xf>
    <xf numFmtId="2" fontId="0" fillId="7" borderId="3" xfId="0" applyNumberFormat="1" applyFill="1" applyBorder="1" applyAlignment="1">
      <alignment/>
    </xf>
    <xf numFmtId="172" fontId="0" fillId="7" borderId="5" xfId="0" applyNumberFormat="1" applyFill="1" applyBorder="1" applyAlignment="1">
      <alignment/>
    </xf>
    <xf numFmtId="2" fontId="0" fillId="8" borderId="3" xfId="0" applyNumberFormat="1" applyFill="1" applyBorder="1" applyAlignment="1">
      <alignment/>
    </xf>
    <xf numFmtId="172" fontId="0" fillId="8" borderId="5" xfId="0" applyNumberFormat="1" applyFill="1" applyBorder="1" applyAlignment="1">
      <alignment/>
    </xf>
    <xf numFmtId="2" fontId="0" fillId="8" borderId="4" xfId="0" applyNumberFormat="1" applyFill="1" applyBorder="1" applyAlignment="1">
      <alignment/>
    </xf>
    <xf numFmtId="2" fontId="0" fillId="8" borderId="7" xfId="0" applyNumberFormat="1" applyFill="1" applyBorder="1" applyAlignment="1">
      <alignment/>
    </xf>
    <xf numFmtId="171" fontId="0" fillId="8" borderId="7" xfId="0" applyNumberFormat="1" applyFill="1" applyBorder="1" applyAlignment="1">
      <alignment/>
    </xf>
    <xf numFmtId="172" fontId="0" fillId="8" borderId="8" xfId="0" applyNumberFormat="1" applyFill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14" borderId="3" xfId="0" applyFill="1" applyBorder="1" applyAlignment="1">
      <alignment/>
    </xf>
    <xf numFmtId="0" fontId="0" fillId="14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14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10" fontId="0" fillId="0" borderId="5" xfId="0" applyNumberFormat="1" applyBorder="1" applyAlignment="1">
      <alignment/>
    </xf>
    <xf numFmtId="9" fontId="0" fillId="0" borderId="5" xfId="0" applyNumberFormat="1" applyBorder="1" applyAlignment="1">
      <alignment/>
    </xf>
    <xf numFmtId="17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9" borderId="0" xfId="0" applyFill="1" applyAlignment="1">
      <alignment horizontal="right"/>
    </xf>
    <xf numFmtId="0" fontId="0" fillId="10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0" fontId="0" fillId="9" borderId="3" xfId="0" applyNumberForma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3" xfId="0" applyFill="1" applyBorder="1" applyAlignment="1">
      <alignment/>
    </xf>
    <xf numFmtId="170" fontId="0" fillId="3" borderId="3" xfId="0" applyNumberFormat="1" applyFill="1" applyBorder="1" applyAlignment="1">
      <alignment/>
    </xf>
    <xf numFmtId="0" fontId="0" fillId="3" borderId="5" xfId="0" applyFill="1" applyBorder="1" applyAlignment="1">
      <alignment/>
    </xf>
    <xf numFmtId="170" fontId="0" fillId="5" borderId="3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5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/>
    </xf>
    <xf numFmtId="3" fontId="0" fillId="0" borderId="7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173" fontId="0" fillId="0" borderId="0" xfId="0" applyNumberFormat="1" applyBorder="1" applyAlignment="1">
      <alignment/>
    </xf>
    <xf numFmtId="173" fontId="0" fillId="0" borderId="7" xfId="0" applyNumberFormat="1" applyBorder="1" applyAlignment="1">
      <alignment/>
    </xf>
    <xf numFmtId="3" fontId="6" fillId="0" borderId="0" xfId="0" applyNumberFormat="1" applyFont="1" applyAlignment="1">
      <alignment/>
    </xf>
    <xf numFmtId="3" fontId="5" fillId="15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0" fillId="4" borderId="7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0" fontId="4" fillId="8" borderId="1" xfId="0" applyFont="1" applyFill="1" applyBorder="1" applyAlignment="1">
      <alignment horizontal="centerContinuous"/>
    </xf>
    <xf numFmtId="0" fontId="0" fillId="8" borderId="6" xfId="0" applyFill="1" applyBorder="1" applyAlignment="1">
      <alignment horizontal="centerContinuous"/>
    </xf>
    <xf numFmtId="0" fontId="0" fillId="8" borderId="2" xfId="0" applyFill="1" applyBorder="1" applyAlignment="1">
      <alignment horizontal="centerContinuous"/>
    </xf>
    <xf numFmtId="3" fontId="0" fillId="8" borderId="4" xfId="0" applyNumberFormat="1" applyFill="1" applyBorder="1" applyAlignment="1">
      <alignment horizontal="centerContinuous"/>
    </xf>
    <xf numFmtId="0" fontId="0" fillId="8" borderId="7" xfId="0" applyFill="1" applyBorder="1" applyAlignment="1">
      <alignment horizontal="centerContinuous"/>
    </xf>
    <xf numFmtId="0" fontId="0" fillId="8" borderId="8" xfId="0" applyFill="1" applyBorder="1" applyAlignment="1">
      <alignment horizontal="centerContinuous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76" fontId="0" fillId="5" borderId="0" xfId="0" applyNumberFormat="1" applyFill="1" applyBorder="1" applyAlignment="1">
      <alignment/>
    </xf>
    <xf numFmtId="176" fontId="0" fillId="5" borderId="5" xfId="0" applyNumberFormat="1" applyFill="1" applyBorder="1" applyAlignment="1">
      <alignment/>
    </xf>
    <xf numFmtId="176" fontId="0" fillId="5" borderId="7" xfId="0" applyNumberFormat="1" applyFill="1" applyBorder="1" applyAlignment="1">
      <alignment/>
    </xf>
    <xf numFmtId="176" fontId="0" fillId="5" borderId="8" xfId="0" applyNumberFormat="1" applyFill="1" applyBorder="1" applyAlignment="1">
      <alignment/>
    </xf>
    <xf numFmtId="0" fontId="4" fillId="5" borderId="1" xfId="0" applyFont="1" applyFill="1" applyBorder="1" applyAlignment="1">
      <alignment horizontal="centerContinuous"/>
    </xf>
    <xf numFmtId="0" fontId="4" fillId="5" borderId="6" xfId="0" applyFont="1" applyFill="1" applyBorder="1" applyAlignment="1">
      <alignment horizontal="centerContinuous"/>
    </xf>
    <xf numFmtId="0" fontId="4" fillId="5" borderId="2" xfId="0" applyFont="1" applyFill="1" applyBorder="1" applyAlignment="1">
      <alignment horizontal="centerContinuous"/>
    </xf>
    <xf numFmtId="2" fontId="4" fillId="4" borderId="1" xfId="0" applyNumberFormat="1" applyFont="1" applyFill="1" applyBorder="1" applyAlignment="1">
      <alignment horizontal="centerContinuous"/>
    </xf>
    <xf numFmtId="2" fontId="0" fillId="4" borderId="6" xfId="0" applyNumberFormat="1" applyFill="1" applyBorder="1" applyAlignment="1">
      <alignment horizontal="centerContinuous"/>
    </xf>
    <xf numFmtId="2" fontId="0" fillId="4" borderId="2" xfId="0" applyNumberFormat="1" applyFill="1" applyBorder="1" applyAlignment="1">
      <alignment horizontal="centerContinuous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176" fontId="0" fillId="5" borderId="12" xfId="0" applyNumberFormat="1" applyFill="1" applyBorder="1" applyAlignment="1">
      <alignment/>
    </xf>
    <xf numFmtId="176" fontId="0" fillId="5" borderId="13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170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/>
    </xf>
    <xf numFmtId="17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2" fontId="0" fillId="0" borderId="5" xfId="0" applyNumberForma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1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10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9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10" borderId="0" xfId="0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140625" defaultRowHeight="12.75"/>
  <cols>
    <col min="1" max="7" width="14.57421875" style="0" customWidth="1"/>
  </cols>
  <sheetData>
    <row r="1" spans="1:6" ht="13.5" thickBot="1">
      <c r="A1" s="273" t="s">
        <v>82</v>
      </c>
      <c r="B1" s="274"/>
      <c r="C1" s="274"/>
      <c r="D1" s="274"/>
      <c r="E1" s="274"/>
      <c r="F1" s="275"/>
    </row>
    <row r="2" spans="1:6" ht="12.75">
      <c r="A2" s="276"/>
      <c r="B2" s="254" t="s">
        <v>1</v>
      </c>
      <c r="C2" s="254" t="s">
        <v>2</v>
      </c>
      <c r="D2" s="254" t="s">
        <v>3</v>
      </c>
      <c r="E2" s="254" t="s">
        <v>4</v>
      </c>
      <c r="F2" s="255" t="s">
        <v>5</v>
      </c>
    </row>
    <row r="3" spans="1:6" ht="12.75">
      <c r="A3" s="277">
        <v>2005</v>
      </c>
      <c r="B3" s="41">
        <f>Total_Emissions!C3</f>
        <v>87092.22198516046</v>
      </c>
      <c r="C3" s="41">
        <f>Total_Emissions!D3</f>
        <v>968401.820050176</v>
      </c>
      <c r="D3" s="41">
        <f>Total_Emissions!E3</f>
        <v>80203.60064419414</v>
      </c>
      <c r="E3" s="41">
        <f>Total_Emissions!F3</f>
        <v>12454.494102669938</v>
      </c>
      <c r="F3" s="42">
        <f>Total_Emissions!G3</f>
        <v>4401.400259410789</v>
      </c>
    </row>
    <row r="4" spans="1:6" ht="12.75">
      <c r="A4" s="277">
        <v>2006</v>
      </c>
      <c r="B4" s="41">
        <f>Total_Emissions!C4</f>
        <v>89953.37607565378</v>
      </c>
      <c r="C4" s="41">
        <f>Total_Emissions!D4</f>
        <v>1000833.6598409648</v>
      </c>
      <c r="D4" s="41">
        <f>Total_Emissions!E4</f>
        <v>82841.29945880263</v>
      </c>
      <c r="E4" s="41">
        <f>Total_Emissions!F4</f>
        <v>12777.151373823519</v>
      </c>
      <c r="F4" s="42">
        <f>Total_Emissions!G4</f>
        <v>4603.901143735125</v>
      </c>
    </row>
    <row r="5" spans="1:6" ht="12.75">
      <c r="A5" s="277">
        <v>2007</v>
      </c>
      <c r="B5" s="41">
        <f>Total_Emissions!C5</f>
        <v>91610.03811526524</v>
      </c>
      <c r="C5" s="41">
        <f>Total_Emissions!D5</f>
        <v>1019874.9396086112</v>
      </c>
      <c r="D5" s="41">
        <f>Total_Emissions!E5</f>
        <v>84178.42863411154</v>
      </c>
      <c r="E5" s="41">
        <f>Total_Emissions!F5</f>
        <v>12964.367053689017</v>
      </c>
      <c r="F5" s="42">
        <f>Total_Emissions!G5</f>
        <v>4701.178415441618</v>
      </c>
    </row>
    <row r="6" spans="1:6" ht="12.75">
      <c r="A6" s="277">
        <v>2008</v>
      </c>
      <c r="B6" s="41">
        <f>Total_Emissions!C6</f>
        <v>93285.67388025997</v>
      </c>
      <c r="C6" s="41">
        <f>Total_Emissions!D6</f>
        <v>1039158.3232034328</v>
      </c>
      <c r="D6" s="41">
        <f>Total_Emissions!E6</f>
        <v>85522.69406167109</v>
      </c>
      <c r="E6" s="41">
        <f>Total_Emissions!F6</f>
        <v>13152.488751858935</v>
      </c>
      <c r="F6" s="42">
        <f>Total_Emissions!G6</f>
        <v>4799.777899262424</v>
      </c>
    </row>
    <row r="7" spans="1:6" ht="12.75">
      <c r="A7" s="277">
        <v>2009</v>
      </c>
      <c r="B7" s="41">
        <f>Total_Emissions!C7</f>
        <v>94979.79401280207</v>
      </c>
      <c r="C7" s="41">
        <f>Total_Emissions!D7</f>
        <v>1058679.5917122138</v>
      </c>
      <c r="D7" s="41">
        <f>Total_Emissions!E7</f>
        <v>86873.41500919375</v>
      </c>
      <c r="E7" s="41">
        <f>Total_Emissions!F7</f>
        <v>13341.460358184491</v>
      </c>
      <c r="F7" s="42">
        <f>Total_Emissions!G7</f>
        <v>4899.6676180453305</v>
      </c>
    </row>
    <row r="8" spans="1:6" ht="12.75">
      <c r="A8" s="277">
        <v>2010</v>
      </c>
      <c r="B8" s="41">
        <f>Total_Emissions!C8</f>
        <v>96691.8488017724</v>
      </c>
      <c r="C8" s="41">
        <f>Total_Emissions!D8</f>
        <v>1078433.8448593344</v>
      </c>
      <c r="D8" s="41">
        <f>Total_Emissions!E8</f>
        <v>88229.85568206948</v>
      </c>
      <c r="E8" s="41">
        <f>Total_Emissions!F8</f>
        <v>13531.218946886922</v>
      </c>
      <c r="F8" s="42">
        <f>Total_Emissions!G8</f>
        <v>5000.811263568185</v>
      </c>
    </row>
    <row r="9" spans="1:6" ht="12.75">
      <c r="A9" s="277">
        <v>2011</v>
      </c>
      <c r="B9" s="41">
        <f>Total_Emissions!C9</f>
        <v>98142.44695871724</v>
      </c>
      <c r="C9" s="41">
        <f>Total_Emissions!D9</f>
        <v>1096201.3568400056</v>
      </c>
      <c r="D9" s="41">
        <f>Total_Emissions!E9</f>
        <v>89731.7254301389</v>
      </c>
      <c r="E9" s="41">
        <f>Total_Emissions!F9</f>
        <v>13780.117332594993</v>
      </c>
      <c r="F9" s="42">
        <f>Total_Emissions!G9</f>
        <v>5147.723222518318</v>
      </c>
    </row>
    <row r="10" spans="1:6" ht="12.75">
      <c r="A10" s="277">
        <v>2012</v>
      </c>
      <c r="B10" s="41">
        <f>Total_Emissions!C10</f>
        <v>98144.01050015389</v>
      </c>
      <c r="C10" s="41">
        <f>Total_Emissions!D10</f>
        <v>1097794.5972551228</v>
      </c>
      <c r="D10" s="41">
        <f>Total_Emissions!E10</f>
        <v>89725.44471723046</v>
      </c>
      <c r="E10" s="41">
        <f>Total_Emissions!F10</f>
        <v>13871.431690656631</v>
      </c>
      <c r="F10" s="42">
        <f>Total_Emissions!G10</f>
        <v>5170.682584425321</v>
      </c>
    </row>
    <row r="11" spans="1:6" ht="12.75">
      <c r="A11" s="277">
        <v>2013</v>
      </c>
      <c r="B11" s="41">
        <f>Total_Emissions!C11</f>
        <v>98182.73510616645</v>
      </c>
      <c r="C11" s="41">
        <f>Total_Emissions!D11</f>
        <v>1099847.9248433344</v>
      </c>
      <c r="D11" s="41">
        <f>Total_Emissions!E11</f>
        <v>89727.64505801194</v>
      </c>
      <c r="E11" s="41">
        <f>Total_Emissions!F11</f>
        <v>13962.250680918161</v>
      </c>
      <c r="F11" s="42">
        <f>Total_Emissions!G11</f>
        <v>5194.785921336291</v>
      </c>
    </row>
    <row r="12" spans="1:6" ht="12.75">
      <c r="A12" s="277">
        <v>2014</v>
      </c>
      <c r="B12" s="41">
        <f>Total_Emissions!C12</f>
        <v>98256.90849124007</v>
      </c>
      <c r="C12" s="41">
        <f>Total_Emissions!D12</f>
        <v>1102341.2146714162</v>
      </c>
      <c r="D12" s="41">
        <f>Total_Emissions!E12</f>
        <v>89737.4215540929</v>
      </c>
      <c r="E12" s="41">
        <f>Total_Emissions!F12</f>
        <v>14052.522145519615</v>
      </c>
      <c r="F12" s="42">
        <f>Total_Emissions!G12</f>
        <v>5219.947793339699</v>
      </c>
    </row>
    <row r="13" spans="1:6" ht="12.75">
      <c r="A13" s="277">
        <v>2015</v>
      </c>
      <c r="B13" s="41">
        <f>Total_Emissions!C13</f>
        <v>98364.80515012224</v>
      </c>
      <c r="C13" s="41">
        <f>Total_Emissions!D13</f>
        <v>1105254.1042290549</v>
      </c>
      <c r="D13" s="41">
        <f>Total_Emissions!E13</f>
        <v>89753.86870756102</v>
      </c>
      <c r="E13" s="41">
        <f>Total_Emissions!F13</f>
        <v>14142.191565073696</v>
      </c>
      <c r="F13" s="42">
        <f>Total_Emissions!G13</f>
        <v>5246.080808697506</v>
      </c>
    </row>
    <row r="14" spans="1:6" ht="12.75">
      <c r="A14" s="277">
        <v>2016</v>
      </c>
      <c r="B14" s="41">
        <f>Total_Emissions!C14</f>
        <v>100182.58986747374</v>
      </c>
      <c r="C14" s="41">
        <f>Total_Emissions!D14</f>
        <v>1125758.081851793</v>
      </c>
      <c r="D14" s="41">
        <f>Total_Emissions!E14</f>
        <v>92055.934292515</v>
      </c>
      <c r="E14" s="41">
        <f>Total_Emissions!F14</f>
        <v>14463.738219082308</v>
      </c>
      <c r="F14" s="42">
        <f>Total_Emissions!G14</f>
        <v>5427.597187843716</v>
      </c>
    </row>
    <row r="15" spans="1:6" ht="12.75">
      <c r="A15" s="277">
        <v>2017</v>
      </c>
      <c r="B15" s="41">
        <f>Total_Emissions!C15</f>
        <v>100633.7349587466</v>
      </c>
      <c r="C15" s="41">
        <f>Total_Emissions!D15</f>
        <v>1130536.3391704825</v>
      </c>
      <c r="D15" s="41">
        <f>Total_Emissions!E15</f>
        <v>92623.24594730696</v>
      </c>
      <c r="E15" s="41">
        <f>Total_Emissions!F15</f>
        <v>14582.514393754125</v>
      </c>
      <c r="F15" s="42">
        <f>Total_Emissions!G15</f>
        <v>5450.429800196559</v>
      </c>
    </row>
    <row r="16" spans="1:6" ht="12.75">
      <c r="A16" s="277">
        <v>2018</v>
      </c>
      <c r="B16" s="41">
        <f>Total_Emissions!C16</f>
        <v>101183.45790230404</v>
      </c>
      <c r="C16" s="41">
        <f>Total_Emissions!D16</f>
        <v>1136623.3607294927</v>
      </c>
      <c r="D16" s="41">
        <f>Total_Emissions!E16</f>
        <v>93587.99022923909</v>
      </c>
      <c r="E16" s="41">
        <f>Total_Emissions!F16</f>
        <v>14759.028633843998</v>
      </c>
      <c r="F16" s="42">
        <f>Total_Emissions!G16</f>
        <v>5514.380419986252</v>
      </c>
    </row>
    <row r="17" spans="1:6" ht="12.75">
      <c r="A17" s="277">
        <v>2019</v>
      </c>
      <c r="B17" s="41">
        <f>Total_Emissions!C17</f>
        <v>101619.11622999495</v>
      </c>
      <c r="C17" s="41">
        <f>Total_Emissions!D17</f>
        <v>1141245.794847814</v>
      </c>
      <c r="D17" s="41">
        <f>Total_Emissions!E17</f>
        <v>94145.84541911552</v>
      </c>
      <c r="E17" s="41">
        <f>Total_Emissions!F17</f>
        <v>14877.797615621614</v>
      </c>
      <c r="F17" s="42">
        <f>Total_Emissions!G17</f>
        <v>5536.687940412861</v>
      </c>
    </row>
    <row r="18" spans="1:6" ht="13.5" thickBot="1">
      <c r="A18" s="278">
        <v>2020</v>
      </c>
      <c r="B18" s="256">
        <f>Total_Emissions!C18</f>
        <v>102049.24926444713</v>
      </c>
      <c r="C18" s="256">
        <f>Total_Emissions!D18</f>
        <v>1145813.2717476971</v>
      </c>
      <c r="D18" s="256">
        <f>Total_Emissions!E18</f>
        <v>94693.1844229027</v>
      </c>
      <c r="E18" s="256">
        <f>Total_Emissions!F18</f>
        <v>14995.50901162719</v>
      </c>
      <c r="F18" s="257">
        <f>Total_Emissions!G18</f>
        <v>5558.105458141356</v>
      </c>
    </row>
    <row r="19" ht="13.5" thickBot="1"/>
    <row r="20" spans="1:6" ht="12.75">
      <c r="A20" s="258" t="s">
        <v>83</v>
      </c>
      <c r="B20" s="259"/>
      <c r="C20" s="259"/>
      <c r="D20" s="259"/>
      <c r="E20" s="259"/>
      <c r="F20" s="260"/>
    </row>
    <row r="21" spans="1:6" ht="13.5" thickBot="1">
      <c r="A21" s="261">
        <f>Total_Emissions!V19</f>
        <v>540000000</v>
      </c>
      <c r="B21" s="262"/>
      <c r="C21" s="262"/>
      <c r="D21" s="262"/>
      <c r="E21" s="262"/>
      <c r="F21" s="263"/>
    </row>
    <row r="22" ht="13.5" thickBot="1"/>
    <row r="23" spans="1:4" ht="13.5" thickBot="1">
      <c r="A23" s="270" t="s">
        <v>84</v>
      </c>
      <c r="B23" s="271"/>
      <c r="C23" s="271"/>
      <c r="D23" s="272"/>
    </row>
    <row r="24" spans="1:4" ht="12.75">
      <c r="A24" s="279"/>
      <c r="B24" s="264" t="s">
        <v>85</v>
      </c>
      <c r="C24" s="264" t="s">
        <v>86</v>
      </c>
      <c r="D24" s="265" t="s">
        <v>44</v>
      </c>
    </row>
    <row r="25" spans="1:4" ht="12.75">
      <c r="A25" s="280">
        <v>2005</v>
      </c>
      <c r="B25" s="266">
        <f>Total_Congestion!H2</f>
        <v>423796474.1551557</v>
      </c>
      <c r="C25" s="266">
        <f>Total_Congestion!J2</f>
        <v>1516200000</v>
      </c>
      <c r="D25" s="267">
        <f>Total_Congestion!K2</f>
        <v>1939996474.1551557</v>
      </c>
    </row>
    <row r="26" spans="1:4" ht="12.75">
      <c r="A26" s="280">
        <v>2006</v>
      </c>
      <c r="B26" s="266">
        <f>Total_Congestion!H3</f>
        <v>885091501.0992508</v>
      </c>
      <c r="C26" s="266">
        <f>Total_Congestion!J3</f>
        <v>3070783800</v>
      </c>
      <c r="D26" s="267">
        <f>Total_Congestion!K3</f>
        <v>3955875301.099251</v>
      </c>
    </row>
    <row r="27" spans="1:4" ht="12.75">
      <c r="A27" s="280">
        <v>2007</v>
      </c>
      <c r="B27" s="266">
        <f>Total_Congestion!H4</f>
        <v>902693030.8248534</v>
      </c>
      <c r="C27" s="266">
        <f>Total_Congestion!J4</f>
        <v>3109225016.099999</v>
      </c>
      <c r="D27" s="267">
        <f>Total_Congestion!K4</f>
        <v>4011918046.9248524</v>
      </c>
    </row>
    <row r="28" spans="1:4" ht="12.75">
      <c r="A28" s="280">
        <v>2008</v>
      </c>
      <c r="B28" s="266">
        <f>Total_Congestion!H5</f>
        <v>920530314.15597</v>
      </c>
      <c r="C28" s="266">
        <f>Total_Congestion!J5</f>
        <v>3147737442.5479493</v>
      </c>
      <c r="D28" s="267">
        <f>Total_Congestion!K5</f>
        <v>4068267756.7039194</v>
      </c>
    </row>
    <row r="29" spans="1:4" ht="12.75">
      <c r="A29" s="280">
        <v>2009</v>
      </c>
      <c r="B29" s="266">
        <f>Total_Congestion!H6</f>
        <v>938599661.5388169</v>
      </c>
      <c r="C29" s="266">
        <f>Total_Congestion!J6</f>
        <v>3186334476.1207576</v>
      </c>
      <c r="D29" s="267">
        <f>Total_Congestion!K6</f>
        <v>4124934137.6595745</v>
      </c>
    </row>
    <row r="30" spans="1:4" ht="12.75">
      <c r="A30" s="280">
        <v>2010</v>
      </c>
      <c r="B30" s="266">
        <f>Total_Congestion!H7</f>
        <v>956896878.7159677</v>
      </c>
      <c r="C30" s="266">
        <f>Total_Congestion!J7</f>
        <v>3225029133.8338275</v>
      </c>
      <c r="D30" s="267">
        <f>Total_Congestion!K7</f>
        <v>4181926012.549795</v>
      </c>
    </row>
    <row r="31" spans="1:4" ht="12.75">
      <c r="A31" s="280">
        <v>2011</v>
      </c>
      <c r="B31" s="266">
        <f>Total_Congestion!H8</f>
        <v>999472635.4346888</v>
      </c>
      <c r="C31" s="266">
        <f>Total_Congestion!J8</f>
        <v>3263834069.949477</v>
      </c>
      <c r="D31" s="267">
        <f>Total_Congestion!K8</f>
        <v>4263306705.384166</v>
      </c>
    </row>
    <row r="32" spans="1:4" ht="12.75">
      <c r="A32" s="280">
        <v>2012</v>
      </c>
      <c r="B32" s="266">
        <f>Total_Congestion!H9</f>
        <v>1019226599.6034961</v>
      </c>
      <c r="C32" s="266">
        <f>Total_Congestion!J9</f>
        <v>3302761592.3128014</v>
      </c>
      <c r="D32" s="267">
        <f>Total_Congestion!K9</f>
        <v>4321988191.916298</v>
      </c>
    </row>
    <row r="33" spans="1:4" ht="12.75">
      <c r="A33" s="280">
        <v>2013</v>
      </c>
      <c r="B33" s="266">
        <f>Total_Congestion!H10</f>
        <v>1039231394.261941</v>
      </c>
      <c r="C33" s="266">
        <f>Total_Congestion!J10</f>
        <v>3341823678.042374</v>
      </c>
      <c r="D33" s="267">
        <f>Total_Congestion!K10</f>
        <v>4381055072.304316</v>
      </c>
    </row>
    <row r="34" spans="1:4" ht="12.75">
      <c r="A34" s="280">
        <v>2014</v>
      </c>
      <c r="B34" s="266">
        <f>Total_Congestion!H11</f>
        <v>1059481530.0910972</v>
      </c>
      <c r="C34" s="266">
        <f>Total_Congestion!J11</f>
        <v>3381031988.602083</v>
      </c>
      <c r="D34" s="267">
        <f>Total_Congestion!K11</f>
        <v>4440513518.69318</v>
      </c>
    </row>
    <row r="35" spans="1:4" ht="12.75">
      <c r="A35" s="280">
        <v>2015</v>
      </c>
      <c r="B35" s="266">
        <f>Total_Congestion!H12</f>
        <v>1079970870.6083062</v>
      </c>
      <c r="C35" s="266">
        <f>Total_Congestion!J12</f>
        <v>3420397884.279327</v>
      </c>
      <c r="D35" s="267">
        <f>Total_Congestion!K12</f>
        <v>4500368754.887633</v>
      </c>
    </row>
    <row r="36" spans="1:4" ht="12.75">
      <c r="A36" s="280">
        <v>2016</v>
      </c>
      <c r="B36" s="266">
        <f>Total_Congestion!H13</f>
        <v>1130781658.198388</v>
      </c>
      <c r="C36" s="266">
        <f>Total_Congestion!J13</f>
        <v>3456734093.1107903</v>
      </c>
      <c r="D36" s="267">
        <f>Total_Congestion!K13</f>
        <v>4587515751.309178</v>
      </c>
    </row>
    <row r="37" spans="1:4" ht="12.75">
      <c r="A37" s="280">
        <v>2017</v>
      </c>
      <c r="B37" s="266">
        <f>Total_Congestion!H14</f>
        <v>1153003958.7761934</v>
      </c>
      <c r="C37" s="266">
        <f>Total_Congestion!J14</f>
        <v>3493411915.284686</v>
      </c>
      <c r="D37" s="267">
        <f>Total_Congestion!K14</f>
        <v>4646415874.06088</v>
      </c>
    </row>
    <row r="38" spans="1:4" ht="12.75">
      <c r="A38" s="280">
        <v>2018</v>
      </c>
      <c r="B38" s="266">
        <f>Total_Congestion!H15</f>
        <v>1182357200.0867147</v>
      </c>
      <c r="C38" s="266">
        <f>Total_Congestion!J15</f>
        <v>3530434988.771644</v>
      </c>
      <c r="D38" s="267">
        <f>Total_Congestion!K15</f>
        <v>4712792188.858358</v>
      </c>
    </row>
    <row r="39" spans="1:4" ht="12.75">
      <c r="A39" s="280">
        <v>2019</v>
      </c>
      <c r="B39" s="266">
        <f>Total_Congestion!H16</f>
        <v>1205385095.3448272</v>
      </c>
      <c r="C39" s="266">
        <f>Total_Congestion!J16</f>
        <v>3567806985.6592636</v>
      </c>
      <c r="D39" s="267">
        <f>Total_Congestion!K16</f>
        <v>4773192081.004091</v>
      </c>
    </row>
    <row r="40" spans="1:4" ht="13.5" thickBot="1">
      <c r="A40" s="281">
        <v>2020</v>
      </c>
      <c r="B40" s="268">
        <f>Total_Congestion!H17</f>
        <v>1228669165.3041365</v>
      </c>
      <c r="C40" s="268">
        <f>Total_Congestion!J17</f>
        <v>3605531612.5163603</v>
      </c>
      <c r="D40" s="269">
        <f>Total_Congestion!K17</f>
        <v>4834200777.820497</v>
      </c>
    </row>
    <row r="41" spans="1:4" ht="13.5" thickBot="1">
      <c r="A41" s="281" t="s">
        <v>44</v>
      </c>
      <c r="B41" s="282">
        <f>SUM(B25:B40)</f>
        <v>16125187968.199806</v>
      </c>
      <c r="C41" s="283">
        <f>SUM(C25:C40)</f>
        <v>51619078677.13133</v>
      </c>
      <c r="D41" s="269">
        <f>SUM(D25:D40)</f>
        <v>67744266645.33116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2" sqref="A12"/>
    </sheetView>
  </sheetViews>
  <sheetFormatPr defaultColWidth="9.140625" defaultRowHeight="12.75"/>
  <cols>
    <col min="1" max="1" width="20.140625" style="0" customWidth="1"/>
    <col min="2" max="2" width="9.57421875" style="0" customWidth="1"/>
    <col min="3" max="26" width="10.8515625" style="0" customWidth="1"/>
  </cols>
  <sheetData>
    <row r="1" ht="13.5" thickBot="1"/>
    <row r="2" spans="2:11" ht="13.5" thickBot="1">
      <c r="B2" s="153" t="s">
        <v>35</v>
      </c>
      <c r="C2" s="125"/>
      <c r="D2" s="125"/>
      <c r="E2" s="125"/>
      <c r="F2" s="125"/>
      <c r="G2" s="125"/>
      <c r="H2" s="125"/>
      <c r="I2" s="125"/>
      <c r="J2" s="125"/>
      <c r="K2" s="126"/>
    </row>
    <row r="3" spans="2:11" ht="13.5" thickBot="1">
      <c r="B3" s="152"/>
      <c r="C3" s="149" t="s">
        <v>45</v>
      </c>
      <c r="D3" s="151"/>
      <c r="E3" s="150"/>
      <c r="F3" s="149" t="s">
        <v>46</v>
      </c>
      <c r="G3" s="151"/>
      <c r="H3" s="151"/>
      <c r="I3" s="150"/>
      <c r="J3" s="149" t="s">
        <v>37</v>
      </c>
      <c r="K3" s="150"/>
    </row>
    <row r="4" spans="2:11" ht="13.5" thickBot="1">
      <c r="B4" s="119"/>
      <c r="C4" s="141" t="s">
        <v>38</v>
      </c>
      <c r="D4" s="139" t="s">
        <v>39</v>
      </c>
      <c r="E4" s="140" t="s">
        <v>40</v>
      </c>
      <c r="F4" s="148" t="s">
        <v>41</v>
      </c>
      <c r="G4" s="139" t="s">
        <v>16</v>
      </c>
      <c r="H4" s="139" t="s">
        <v>17</v>
      </c>
      <c r="I4" s="140" t="s">
        <v>18</v>
      </c>
      <c r="J4" s="139" t="s">
        <v>20</v>
      </c>
      <c r="K4" s="140" t="s">
        <v>19</v>
      </c>
    </row>
    <row r="5" spans="2:11" ht="12.75">
      <c r="B5" s="116" t="s">
        <v>6</v>
      </c>
      <c r="C5" s="116">
        <v>5</v>
      </c>
      <c r="D5" s="117">
        <v>23</v>
      </c>
      <c r="E5" s="118">
        <v>4</v>
      </c>
      <c r="F5" s="116">
        <v>4.86</v>
      </c>
      <c r="G5" s="117">
        <v>-0.595</v>
      </c>
      <c r="H5" s="117">
        <v>-0.05106</v>
      </c>
      <c r="I5" s="118">
        <v>-0.2142</v>
      </c>
      <c r="J5" s="117">
        <f>EXP(F5+G5*C5+H5*D5+I5*E5)</f>
        <v>0.864002168796585</v>
      </c>
      <c r="K5" s="147">
        <f>J5/$J$10</f>
        <v>0.08556625932704215</v>
      </c>
    </row>
    <row r="6" spans="2:11" ht="12.75">
      <c r="B6" s="119" t="s">
        <v>7</v>
      </c>
      <c r="C6" s="119">
        <v>0.4</v>
      </c>
      <c r="D6" s="120">
        <v>41</v>
      </c>
      <c r="E6" s="142">
        <v>18</v>
      </c>
      <c r="F6" s="119">
        <v>9.95</v>
      </c>
      <c r="G6" s="120">
        <v>-0.595</v>
      </c>
      <c r="H6" s="120">
        <v>-0.06663</v>
      </c>
      <c r="I6" s="142">
        <v>-0.3035</v>
      </c>
      <c r="J6" s="120">
        <f>EXP(F6+G6*C6+H6*D6+I6*E6)</f>
        <v>4.559304089827576</v>
      </c>
      <c r="K6" s="121">
        <f>J6/$J$10</f>
        <v>0.45152964910308935</v>
      </c>
    </row>
    <row r="7" spans="2:11" ht="12.75">
      <c r="B7" s="119" t="s">
        <v>8</v>
      </c>
      <c r="C7" s="119">
        <v>0.33</v>
      </c>
      <c r="D7" s="120">
        <v>43</v>
      </c>
      <c r="E7" s="142">
        <v>5</v>
      </c>
      <c r="F7" s="119">
        <v>3.4</v>
      </c>
      <c r="G7" s="120">
        <v>-0.595</v>
      </c>
      <c r="H7" s="120">
        <v>-0.0461</v>
      </c>
      <c r="I7" s="142">
        <v>-0.07624</v>
      </c>
      <c r="J7" s="120">
        <f>EXP(F7+G7*C7+H7*D7+I7*E7)</f>
        <v>2.31671445788804</v>
      </c>
      <c r="K7" s="121">
        <f>J7/$J$10</f>
        <v>0.22943529223596948</v>
      </c>
    </row>
    <row r="8" spans="2:11" ht="12.75">
      <c r="B8" s="119" t="s">
        <v>42</v>
      </c>
      <c r="C8" s="119">
        <v>0.5</v>
      </c>
      <c r="D8" s="120">
        <v>45</v>
      </c>
      <c r="E8" s="142">
        <v>25</v>
      </c>
      <c r="F8" s="119">
        <v>0</v>
      </c>
      <c r="G8" s="120">
        <v>-0.595</v>
      </c>
      <c r="H8" s="120">
        <v>-0.001989</v>
      </c>
      <c r="I8" s="142">
        <v>0.01131</v>
      </c>
      <c r="J8" s="120">
        <f>EXP(F8+G8*C8+H8*D8+I8*E8)</f>
        <v>0.9009955142689594</v>
      </c>
      <c r="K8" s="121">
        <f>J8/$J$10</f>
        <v>0.08922988692704334</v>
      </c>
    </row>
    <row r="9" spans="2:11" ht="13.5" thickBot="1">
      <c r="B9" s="122" t="s">
        <v>43</v>
      </c>
      <c r="C9" s="122">
        <v>0.2</v>
      </c>
      <c r="D9" s="123">
        <v>44</v>
      </c>
      <c r="E9" s="143">
        <v>19</v>
      </c>
      <c r="F9" s="122">
        <v>0.495</v>
      </c>
      <c r="G9" s="123">
        <v>-0.595</v>
      </c>
      <c r="H9" s="123"/>
      <c r="I9" s="143"/>
      <c r="J9" s="123">
        <f>EXP(F9+G9*C9+H9*D9+I9*E9)</f>
        <v>1.456447133771086</v>
      </c>
      <c r="K9" s="124">
        <f>J9/$J$10</f>
        <v>0.1442389124068557</v>
      </c>
    </row>
    <row r="10" spans="2:11" ht="13.5" thickBot="1">
      <c r="B10" s="144" t="s">
        <v>44</v>
      </c>
      <c r="C10" s="144"/>
      <c r="D10" s="145"/>
      <c r="E10" s="145"/>
      <c r="F10" s="145"/>
      <c r="G10" s="145"/>
      <c r="H10" s="145"/>
      <c r="I10" s="145"/>
      <c r="J10" s="145">
        <f>SUM(J5:J9)</f>
        <v>10.097463364552246</v>
      </c>
      <c r="K10" s="146">
        <f>SUM(K5:K9)</f>
        <v>1</v>
      </c>
    </row>
    <row r="11" ht="13.5" thickBot="1">
      <c r="A11" s="11"/>
    </row>
    <row r="12" spans="1:26" ht="12.75">
      <c r="A12" s="130"/>
      <c r="B12" s="20" t="s">
        <v>21</v>
      </c>
      <c r="C12" s="21"/>
      <c r="D12" s="21"/>
      <c r="E12" s="21"/>
      <c r="F12" s="22"/>
      <c r="G12" s="23" t="s">
        <v>22</v>
      </c>
      <c r="H12" s="24"/>
      <c r="I12" s="24"/>
      <c r="J12" s="24"/>
      <c r="K12" s="25"/>
      <c r="L12" s="23" t="s">
        <v>23</v>
      </c>
      <c r="M12" s="24"/>
      <c r="N12" s="24"/>
      <c r="O12" s="24"/>
      <c r="P12" s="25"/>
      <c r="Q12" s="23" t="s">
        <v>24</v>
      </c>
      <c r="R12" s="24"/>
      <c r="S12" s="24"/>
      <c r="T12" s="24"/>
      <c r="U12" s="25"/>
      <c r="V12" s="23" t="s">
        <v>25</v>
      </c>
      <c r="W12" s="24"/>
      <c r="X12" s="24"/>
      <c r="Y12" s="24"/>
      <c r="Z12" s="25"/>
    </row>
    <row r="13" spans="1:26" ht="12.75">
      <c r="A13" s="154" t="s">
        <v>15</v>
      </c>
      <c r="B13" s="127" t="s">
        <v>16</v>
      </c>
      <c r="C13" s="128" t="s">
        <v>17</v>
      </c>
      <c r="D13" s="128" t="s">
        <v>18</v>
      </c>
      <c r="E13" s="128" t="s">
        <v>36</v>
      </c>
      <c r="F13" s="129" t="s">
        <v>37</v>
      </c>
      <c r="G13" s="127" t="s">
        <v>16</v>
      </c>
      <c r="H13" s="128" t="s">
        <v>17</v>
      </c>
      <c r="I13" s="128" t="s">
        <v>18</v>
      </c>
      <c r="J13" s="128" t="s">
        <v>36</v>
      </c>
      <c r="K13" s="129" t="s">
        <v>37</v>
      </c>
      <c r="L13" s="127" t="s">
        <v>16</v>
      </c>
      <c r="M13" s="128" t="s">
        <v>17</v>
      </c>
      <c r="N13" s="128" t="s">
        <v>18</v>
      </c>
      <c r="O13" s="128" t="s">
        <v>36</v>
      </c>
      <c r="P13" s="129" t="s">
        <v>37</v>
      </c>
      <c r="Q13" s="127" t="s">
        <v>16</v>
      </c>
      <c r="R13" s="128" t="s">
        <v>17</v>
      </c>
      <c r="S13" s="128" t="s">
        <v>18</v>
      </c>
      <c r="T13" s="128" t="s">
        <v>36</v>
      </c>
      <c r="U13" s="129" t="s">
        <v>37</v>
      </c>
      <c r="V13" s="127" t="s">
        <v>16</v>
      </c>
      <c r="W13" s="128" t="s">
        <v>17</v>
      </c>
      <c r="X13" s="128" t="s">
        <v>18</v>
      </c>
      <c r="Y13" s="128" t="s">
        <v>36</v>
      </c>
      <c r="Z13" s="129" t="s">
        <v>37</v>
      </c>
    </row>
    <row r="14" spans="1:26" ht="12.75">
      <c r="A14" s="131">
        <v>2005</v>
      </c>
      <c r="B14" s="31">
        <v>5</v>
      </c>
      <c r="C14" s="109">
        <v>23</v>
      </c>
      <c r="D14" s="110">
        <v>4</v>
      </c>
      <c r="E14" s="109">
        <f aca="true" t="shared" si="0" ref="E14:E29">EXP($F$5+$G$5*B14+$H$5*C14+$I$5*D14)</f>
        <v>0.864002168796585</v>
      </c>
      <c r="F14" s="107">
        <f>E14/(E14+J14+O14+T14+Y14)</f>
        <v>0.08556625932704215</v>
      </c>
      <c r="G14" s="111">
        <v>0.4</v>
      </c>
      <c r="H14" s="110">
        <v>41</v>
      </c>
      <c r="I14" s="110">
        <v>18</v>
      </c>
      <c r="J14" s="109">
        <f aca="true" t="shared" si="1" ref="J14:J29">EXP($F$6+$G$6*G14+$H$6*H14+$I$6*I14)</f>
        <v>4.559304089827576</v>
      </c>
      <c r="K14" s="107">
        <f>J14/(E14+J14+O14+T14+Y14)</f>
        <v>0.45152964910308935</v>
      </c>
      <c r="L14" s="111">
        <v>0.33</v>
      </c>
      <c r="M14" s="110">
        <v>43</v>
      </c>
      <c r="N14" s="110">
        <v>5</v>
      </c>
      <c r="O14" s="109">
        <f aca="true" t="shared" si="2" ref="O14:O29">EXP($F$7+$G$7*L14+$H$7*M14+$I$7*N14)</f>
        <v>2.31671445788804</v>
      </c>
      <c r="P14" s="107">
        <f>O14/(E14+J14+O14+T14+Y14)</f>
        <v>0.22943529223596948</v>
      </c>
      <c r="Q14" s="111">
        <v>0.5</v>
      </c>
      <c r="R14" s="110">
        <v>45</v>
      </c>
      <c r="S14" s="110">
        <v>25</v>
      </c>
      <c r="T14" s="109">
        <f aca="true" t="shared" si="3" ref="T14:T29">EXP($F$8+$G$8*Q14+$H$8*R14+$I$8*S14)</f>
        <v>0.9009955142689594</v>
      </c>
      <c r="U14" s="107">
        <f>T14/(E14+J14+O14+T14+Y14)</f>
        <v>0.08922988692704334</v>
      </c>
      <c r="V14" s="111">
        <v>0.2</v>
      </c>
      <c r="W14" s="110">
        <v>44</v>
      </c>
      <c r="X14" s="110">
        <v>19</v>
      </c>
      <c r="Y14" s="109">
        <f aca="true" t="shared" si="4" ref="Y14:Y29">EXP($F$9+$G$9*V14)</f>
        <v>1.456447133771086</v>
      </c>
      <c r="Z14" s="107">
        <f>Y14/(Y14+T14+O14+J14+E14)</f>
        <v>0.1442389124068557</v>
      </c>
    </row>
    <row r="15" spans="1:26" ht="12.75">
      <c r="A15" s="131">
        <v>2006</v>
      </c>
      <c r="B15" s="31">
        <f>B14*(1+$B$31)</f>
        <v>5.05</v>
      </c>
      <c r="C15" s="109">
        <f>C14*(1+$C$31)</f>
        <v>23.23</v>
      </c>
      <c r="D15" s="109">
        <f>D14*(1+$D$31)</f>
        <v>4</v>
      </c>
      <c r="E15" s="109">
        <f t="shared" si="0"/>
        <v>0.8288850454399449</v>
      </c>
      <c r="F15" s="107">
        <f aca="true" t="shared" si="5" ref="F15:F29">E15/(E15+J15+O15+T15+Y15)</f>
        <v>0.08640902706303914</v>
      </c>
      <c r="G15" s="111">
        <f>G14*(1+$G$31)</f>
        <v>0.404</v>
      </c>
      <c r="H15" s="110">
        <f>H14*(1+$H$31)</f>
        <v>41.410000000000004</v>
      </c>
      <c r="I15" s="110">
        <f>I14*(1+$I$31)</f>
        <v>18</v>
      </c>
      <c r="J15" s="109">
        <f t="shared" si="1"/>
        <v>4.425891380083533</v>
      </c>
      <c r="K15" s="107">
        <f aca="true" t="shared" si="6" ref="K15:K29">J15/(E15+J15+O15+T15+Y15)</f>
        <v>0.461387221477406</v>
      </c>
      <c r="L15" s="111">
        <f>L14*(1+$L$31)</f>
        <v>0.33330000000000004</v>
      </c>
      <c r="M15" s="110">
        <f>M14*(1+$M$31)</f>
        <v>43.43</v>
      </c>
      <c r="N15" s="110">
        <f>N14*(1+$N$31)</f>
        <v>5</v>
      </c>
      <c r="O15" s="109">
        <f t="shared" si="2"/>
        <v>2.266787203239871</v>
      </c>
      <c r="P15" s="107">
        <f aca="true" t="shared" si="7" ref="P15:P29">O15/(E15+J15+O15+T15+Y15)</f>
        <v>0.236306443056821</v>
      </c>
      <c r="Q15" s="111">
        <v>0.75</v>
      </c>
      <c r="R15" s="110">
        <f>R14*(1+$R$31)</f>
        <v>45.45</v>
      </c>
      <c r="S15" s="110">
        <f>S14*(1+$S$31)</f>
        <v>25.25</v>
      </c>
      <c r="T15" s="109">
        <f t="shared" si="3"/>
        <v>0.7779659280834126</v>
      </c>
      <c r="U15" s="107">
        <f aca="true" t="shared" si="8" ref="U15:U29">T15/(E15+J15+O15+T15+Y15)</f>
        <v>0.08110084661764172</v>
      </c>
      <c r="V15" s="111">
        <v>0.4</v>
      </c>
      <c r="W15" s="110">
        <f>W14*(1+$W$31)</f>
        <v>44</v>
      </c>
      <c r="X15" s="110">
        <f>X14*(1+$X$31)</f>
        <v>19</v>
      </c>
      <c r="Y15" s="109">
        <f t="shared" si="4"/>
        <v>1.2930451267593537</v>
      </c>
      <c r="Z15" s="107">
        <f aca="true" t="shared" si="9" ref="Z15:Z29">Y15/(Y15+T15+O15+J15+E15)</f>
        <v>0.1347964617850921</v>
      </c>
    </row>
    <row r="16" spans="1:26" ht="12.75">
      <c r="A16" s="131">
        <v>2007</v>
      </c>
      <c r="B16" s="31">
        <f aca="true" t="shared" si="10" ref="B16:B29">B15*(1+$B$31)</f>
        <v>5.1005</v>
      </c>
      <c r="C16" s="109">
        <f aca="true" t="shared" si="11" ref="C16:C29">C15*(1+$C$31)</f>
        <v>23.4623</v>
      </c>
      <c r="D16" s="109">
        <f aca="true" t="shared" si="12" ref="D16:D29">D15*(1+$D$31)</f>
        <v>4</v>
      </c>
      <c r="E16" s="109">
        <f t="shared" si="0"/>
        <v>0.7948653593332196</v>
      </c>
      <c r="F16" s="107">
        <f t="shared" si="5"/>
        <v>0.08474084219505618</v>
      </c>
      <c r="G16" s="111">
        <f aca="true" t="shared" si="13" ref="G16:G29">G15*(1+$G$31)</f>
        <v>0.40804</v>
      </c>
      <c r="H16" s="110">
        <f aca="true" t="shared" si="14" ref="H16:H29">H15*(1+$H$31)</f>
        <v>41.8241</v>
      </c>
      <c r="I16" s="110">
        <f aca="true" t="shared" si="15" ref="I16:I29">I15*(1+$I$31)</f>
        <v>18</v>
      </c>
      <c r="J16" s="109">
        <f t="shared" si="1"/>
        <v>4.295106781743814</v>
      </c>
      <c r="K16" s="107">
        <f t="shared" si="6"/>
        <v>0.4579026645569115</v>
      </c>
      <c r="L16" s="111">
        <f aca="true" t="shared" si="16" ref="L16:L29">L15*(1+$L$31)</f>
        <v>0.33663300000000007</v>
      </c>
      <c r="M16" s="110">
        <f aca="true" t="shared" si="17" ref="M16:M29">M15*(1+$M$31)</f>
        <v>43.8643</v>
      </c>
      <c r="N16" s="110">
        <f aca="true" t="shared" si="18" ref="N16:N29">N15*(1+$N$31)</f>
        <v>5</v>
      </c>
      <c r="O16" s="109">
        <f t="shared" si="2"/>
        <v>2.2174527673059927</v>
      </c>
      <c r="P16" s="107">
        <f t="shared" si="7"/>
        <v>0.23640332645379952</v>
      </c>
      <c r="Q16" s="111">
        <v>0.75</v>
      </c>
      <c r="R16" s="110">
        <f aca="true" t="shared" si="19" ref="R16:R29">R15*(1+$R$31)</f>
        <v>45.904500000000006</v>
      </c>
      <c r="S16" s="110">
        <f aca="true" t="shared" si="20" ref="S16:S29">S15*(1+$S$31)</f>
        <v>25.5025</v>
      </c>
      <c r="T16" s="109">
        <f t="shared" si="3"/>
        <v>0.779485824909154</v>
      </c>
      <c r="U16" s="107">
        <f t="shared" si="8"/>
        <v>0.08310122526577342</v>
      </c>
      <c r="V16" s="111">
        <v>0.4</v>
      </c>
      <c r="W16" s="110">
        <f aca="true" t="shared" si="21" ref="W16:W29">W15*(1+$W$31)</f>
        <v>44</v>
      </c>
      <c r="X16" s="110">
        <f aca="true" t="shared" si="22" ref="X16:X29">X15*(1+$X$31)</f>
        <v>19</v>
      </c>
      <c r="Y16" s="109">
        <f t="shared" si="4"/>
        <v>1.2930451267593537</v>
      </c>
      <c r="Z16" s="107">
        <f t="shared" si="9"/>
        <v>0.13785194152845934</v>
      </c>
    </row>
    <row r="17" spans="1:26" ht="12.75">
      <c r="A17" s="131">
        <v>2008</v>
      </c>
      <c r="B17" s="31">
        <f t="shared" si="10"/>
        <v>5.151505</v>
      </c>
      <c r="C17" s="109">
        <f t="shared" si="11"/>
        <v>23.696922999999998</v>
      </c>
      <c r="D17" s="109">
        <f t="shared" si="12"/>
        <v>4</v>
      </c>
      <c r="E17" s="109">
        <f t="shared" si="0"/>
        <v>0.7619225541914703</v>
      </c>
      <c r="F17" s="107">
        <f t="shared" si="5"/>
        <v>0.08307372399519233</v>
      </c>
      <c r="G17" s="111">
        <f t="shared" si="13"/>
        <v>0.4121204</v>
      </c>
      <c r="H17" s="110">
        <f t="shared" si="14"/>
        <v>42.242341</v>
      </c>
      <c r="I17" s="110">
        <f t="shared" si="15"/>
        <v>18</v>
      </c>
      <c r="J17" s="109">
        <f t="shared" si="1"/>
        <v>4.166936781796135</v>
      </c>
      <c r="K17" s="107">
        <f t="shared" si="6"/>
        <v>0.4543282702579726</v>
      </c>
      <c r="L17" s="111">
        <f t="shared" si="16"/>
        <v>0.3399993300000001</v>
      </c>
      <c r="M17" s="110">
        <f t="shared" si="17"/>
        <v>44.302943</v>
      </c>
      <c r="N17" s="110">
        <f t="shared" si="18"/>
        <v>5</v>
      </c>
      <c r="O17" s="109">
        <f t="shared" si="2"/>
        <v>2.168714783336105</v>
      </c>
      <c r="P17" s="107">
        <f t="shared" si="7"/>
        <v>0.2364586956299526</v>
      </c>
      <c r="Q17" s="111">
        <v>0.75</v>
      </c>
      <c r="R17" s="110">
        <f t="shared" si="19"/>
        <v>46.36354500000001</v>
      </c>
      <c r="S17" s="110">
        <f t="shared" si="20"/>
        <v>25.757525</v>
      </c>
      <c r="T17" s="109">
        <f t="shared" si="3"/>
        <v>0.7810239348048491</v>
      </c>
      <c r="U17" s="107">
        <f t="shared" si="8"/>
        <v>0.08515638031278466</v>
      </c>
      <c r="V17" s="111">
        <v>0.4</v>
      </c>
      <c r="W17" s="110">
        <f t="shared" si="21"/>
        <v>44</v>
      </c>
      <c r="X17" s="110">
        <f t="shared" si="22"/>
        <v>19</v>
      </c>
      <c r="Y17" s="109">
        <f t="shared" si="4"/>
        <v>1.2930451267593537</v>
      </c>
      <c r="Z17" s="107">
        <f t="shared" si="9"/>
        <v>0.1409829298040979</v>
      </c>
    </row>
    <row r="18" spans="1:26" ht="12.75">
      <c r="A18" s="131">
        <v>2009</v>
      </c>
      <c r="B18" s="31">
        <f t="shared" si="10"/>
        <v>5.20302005</v>
      </c>
      <c r="C18" s="109">
        <f t="shared" si="11"/>
        <v>23.933892229999998</v>
      </c>
      <c r="D18" s="109">
        <f t="shared" si="12"/>
        <v>4</v>
      </c>
      <c r="E18" s="109">
        <f t="shared" si="0"/>
        <v>0.730035973699253</v>
      </c>
      <c r="F18" s="107">
        <f t="shared" si="5"/>
        <v>0.08140812987086679</v>
      </c>
      <c r="G18" s="111">
        <f t="shared" si="13"/>
        <v>0.416241604</v>
      </c>
      <c r="H18" s="110">
        <f t="shared" si="14"/>
        <v>42.664764410000004</v>
      </c>
      <c r="I18" s="110">
        <f t="shared" si="15"/>
        <v>18</v>
      </c>
      <c r="J18" s="109">
        <f t="shared" si="1"/>
        <v>4.04136696728508</v>
      </c>
      <c r="K18" s="107">
        <f t="shared" si="6"/>
        <v>0.45066289714664165</v>
      </c>
      <c r="L18" s="111">
        <f t="shared" si="16"/>
        <v>0.3433993233000001</v>
      </c>
      <c r="M18" s="110">
        <f t="shared" si="17"/>
        <v>44.74597243</v>
      </c>
      <c r="N18" s="110">
        <f t="shared" si="18"/>
        <v>5</v>
      </c>
      <c r="O18" s="109">
        <f t="shared" si="2"/>
        <v>2.1205766864721665</v>
      </c>
      <c r="P18" s="107">
        <f t="shared" si="7"/>
        <v>0.23647078844442862</v>
      </c>
      <c r="Q18" s="111">
        <v>0.75</v>
      </c>
      <c r="R18" s="110">
        <f t="shared" si="19"/>
        <v>46.82718045000001</v>
      </c>
      <c r="S18" s="110">
        <f t="shared" si="20"/>
        <v>26.01510025</v>
      </c>
      <c r="T18" s="109">
        <f t="shared" si="3"/>
        <v>0.782580506551943</v>
      </c>
      <c r="U18" s="107">
        <f t="shared" si="8"/>
        <v>0.08726750161223526</v>
      </c>
      <c r="V18" s="111">
        <v>0.4</v>
      </c>
      <c r="W18" s="110">
        <f t="shared" si="21"/>
        <v>44</v>
      </c>
      <c r="X18" s="110">
        <f t="shared" si="22"/>
        <v>19</v>
      </c>
      <c r="Y18" s="109">
        <f t="shared" si="4"/>
        <v>1.2930451267593537</v>
      </c>
      <c r="Z18" s="107">
        <f t="shared" si="9"/>
        <v>0.1441906829258277</v>
      </c>
    </row>
    <row r="19" spans="1:26" ht="12.75">
      <c r="A19" s="131">
        <v>2010</v>
      </c>
      <c r="B19" s="31">
        <f t="shared" si="10"/>
        <v>5.2550502505</v>
      </c>
      <c r="C19" s="109">
        <f t="shared" si="11"/>
        <v>24.173231152299998</v>
      </c>
      <c r="D19" s="109">
        <f t="shared" si="12"/>
        <v>4</v>
      </c>
      <c r="E19" s="109">
        <f t="shared" si="0"/>
        <v>0.699184878534963</v>
      </c>
      <c r="F19" s="107">
        <f t="shared" si="5"/>
        <v>0.07974453309592713</v>
      </c>
      <c r="G19" s="111">
        <f t="shared" si="13"/>
        <v>0.42040402004</v>
      </c>
      <c r="H19" s="110">
        <f t="shared" si="14"/>
        <v>43.091412054100005</v>
      </c>
      <c r="I19" s="110">
        <f t="shared" si="15"/>
        <v>18</v>
      </c>
      <c r="J19" s="109">
        <f t="shared" si="1"/>
        <v>3.918382036903403</v>
      </c>
      <c r="K19" s="107">
        <f t="shared" si="6"/>
        <v>0.44690546894987604</v>
      </c>
      <c r="L19" s="111">
        <f t="shared" si="16"/>
        <v>0.3468333165330001</v>
      </c>
      <c r="M19" s="110">
        <f t="shared" si="17"/>
        <v>45.193432154300005</v>
      </c>
      <c r="N19" s="110">
        <f t="shared" si="18"/>
        <v>5</v>
      </c>
      <c r="O19" s="109">
        <f t="shared" si="2"/>
        <v>2.073041711037022</v>
      </c>
      <c r="P19" s="107">
        <f t="shared" si="7"/>
        <v>0.2364378126732651</v>
      </c>
      <c r="Q19" s="111">
        <v>0.75</v>
      </c>
      <c r="R19" s="110">
        <f t="shared" si="19"/>
        <v>47.295452254500006</v>
      </c>
      <c r="S19" s="110">
        <f t="shared" si="20"/>
        <v>26.2752512525</v>
      </c>
      <c r="T19" s="109">
        <f t="shared" si="3"/>
        <v>0.7841557929556177</v>
      </c>
      <c r="U19" s="107">
        <f t="shared" si="8"/>
        <v>0.08943576942730647</v>
      </c>
      <c r="V19" s="111">
        <v>0.4</v>
      </c>
      <c r="W19" s="110">
        <f t="shared" si="21"/>
        <v>44</v>
      </c>
      <c r="X19" s="110">
        <f t="shared" si="22"/>
        <v>19</v>
      </c>
      <c r="Y19" s="109">
        <f t="shared" si="4"/>
        <v>1.2930451267593537</v>
      </c>
      <c r="Z19" s="107">
        <f t="shared" si="9"/>
        <v>0.14747641585362514</v>
      </c>
    </row>
    <row r="20" spans="1:26" ht="12.75">
      <c r="A20" s="131">
        <v>2011</v>
      </c>
      <c r="B20" s="31">
        <f t="shared" si="10"/>
        <v>5.3076007530050004</v>
      </c>
      <c r="C20" s="109">
        <f t="shared" si="11"/>
        <v>24.414963463823</v>
      </c>
      <c r="D20" s="109">
        <f t="shared" si="12"/>
        <v>4</v>
      </c>
      <c r="E20" s="109">
        <f t="shared" si="0"/>
        <v>0.6693484633411354</v>
      </c>
      <c r="F20" s="107">
        <f t="shared" si="5"/>
        <v>0.08046456015039817</v>
      </c>
      <c r="G20" s="111">
        <f t="shared" si="13"/>
        <v>0.4246080602404</v>
      </c>
      <c r="H20" s="110">
        <f t="shared" si="14"/>
        <v>43.522326174641</v>
      </c>
      <c r="I20" s="110">
        <f t="shared" si="15"/>
        <v>18</v>
      </c>
      <c r="J20" s="109">
        <f t="shared" si="1"/>
        <v>3.797965813408401</v>
      </c>
      <c r="K20" s="107">
        <f t="shared" si="6"/>
        <v>0.4565658478047561</v>
      </c>
      <c r="L20" s="111">
        <f t="shared" si="16"/>
        <v>0.3503016496983301</v>
      </c>
      <c r="M20" s="110">
        <f t="shared" si="17"/>
        <v>45.645366475843005</v>
      </c>
      <c r="N20" s="110">
        <f t="shared" si="18"/>
        <v>5</v>
      </c>
      <c r="O20" s="109">
        <f t="shared" si="2"/>
        <v>2.0261128879479307</v>
      </c>
      <c r="P20" s="107">
        <f t="shared" si="7"/>
        <v>0.24356563325774658</v>
      </c>
      <c r="Q20" s="111">
        <v>1</v>
      </c>
      <c r="R20" s="110">
        <f t="shared" si="19"/>
        <v>47.76840677704501</v>
      </c>
      <c r="S20" s="110">
        <f t="shared" si="20"/>
        <v>26.538003765025</v>
      </c>
      <c r="T20" s="109">
        <f t="shared" si="3"/>
        <v>0.6771472415563049</v>
      </c>
      <c r="U20" s="107">
        <f t="shared" si="8"/>
        <v>0.08140207669546014</v>
      </c>
      <c r="V20" s="111">
        <v>0.6</v>
      </c>
      <c r="W20" s="110">
        <f t="shared" si="21"/>
        <v>44</v>
      </c>
      <c r="X20" s="110">
        <f t="shared" si="22"/>
        <v>19</v>
      </c>
      <c r="Y20" s="109">
        <f t="shared" si="4"/>
        <v>1.1479755502741786</v>
      </c>
      <c r="Z20" s="107">
        <f t="shared" si="9"/>
        <v>0.13800188209163897</v>
      </c>
    </row>
    <row r="21" spans="1:26" ht="12.75">
      <c r="A21" s="131">
        <v>2012</v>
      </c>
      <c r="B21" s="31">
        <f t="shared" si="10"/>
        <v>5.360676760535051</v>
      </c>
      <c r="C21" s="109">
        <f t="shared" si="11"/>
        <v>24.65911309846123</v>
      </c>
      <c r="D21" s="109">
        <f t="shared" si="12"/>
        <v>4</v>
      </c>
      <c r="E21" s="109">
        <f t="shared" si="0"/>
        <v>0.6405058736166115</v>
      </c>
      <c r="F21" s="107">
        <f t="shared" si="5"/>
        <v>0.07881293161131747</v>
      </c>
      <c r="G21" s="111">
        <f t="shared" si="13"/>
        <v>0.428854140842804</v>
      </c>
      <c r="H21" s="110">
        <f t="shared" si="14"/>
        <v>43.95754943638741</v>
      </c>
      <c r="I21" s="110">
        <f t="shared" si="15"/>
        <v>18</v>
      </c>
      <c r="J21" s="109">
        <f t="shared" si="1"/>
        <v>3.680101256855048</v>
      </c>
      <c r="K21" s="107">
        <f t="shared" si="6"/>
        <v>0.4528288976360734</v>
      </c>
      <c r="L21" s="111">
        <f t="shared" si="16"/>
        <v>0.3538046661953134</v>
      </c>
      <c r="M21" s="110">
        <f t="shared" si="17"/>
        <v>46.10182014060143</v>
      </c>
      <c r="N21" s="110">
        <f t="shared" si="18"/>
        <v>5</v>
      </c>
      <c r="O21" s="109">
        <f t="shared" si="2"/>
        <v>1.9797930422595156</v>
      </c>
      <c r="P21" s="107">
        <f t="shared" si="7"/>
        <v>0.24360946569173608</v>
      </c>
      <c r="Q21" s="111">
        <v>1</v>
      </c>
      <c r="R21" s="110">
        <f t="shared" si="19"/>
        <v>48.246090844815456</v>
      </c>
      <c r="S21" s="110">
        <f t="shared" si="20"/>
        <v>26.80338380267525</v>
      </c>
      <c r="T21" s="109">
        <f t="shared" si="3"/>
        <v>0.6785377228159581</v>
      </c>
      <c r="U21" s="107">
        <f t="shared" si="8"/>
        <v>0.08349267250592511</v>
      </c>
      <c r="V21" s="111">
        <v>0.6</v>
      </c>
      <c r="W21" s="110">
        <f t="shared" si="21"/>
        <v>44</v>
      </c>
      <c r="X21" s="110">
        <f t="shared" si="22"/>
        <v>19</v>
      </c>
      <c r="Y21" s="109">
        <f t="shared" si="4"/>
        <v>1.1479755502741786</v>
      </c>
      <c r="Z21" s="107">
        <f t="shared" si="9"/>
        <v>0.14125603255494784</v>
      </c>
    </row>
    <row r="22" spans="1:26" ht="12.75">
      <c r="A22" s="131">
        <v>2013</v>
      </c>
      <c r="B22" s="31">
        <f t="shared" si="10"/>
        <v>5.414283528140401</v>
      </c>
      <c r="C22" s="109">
        <f t="shared" si="11"/>
        <v>24.905704229445842</v>
      </c>
      <c r="D22" s="109">
        <f t="shared" si="12"/>
        <v>4</v>
      </c>
      <c r="E22" s="109">
        <f t="shared" si="0"/>
        <v>0.6126362225065557</v>
      </c>
      <c r="F22" s="107">
        <f t="shared" si="5"/>
        <v>0.07716392834810223</v>
      </c>
      <c r="G22" s="111">
        <f t="shared" si="13"/>
        <v>0.43314268225123204</v>
      </c>
      <c r="H22" s="110">
        <f t="shared" si="14"/>
        <v>44.39712493075128</v>
      </c>
      <c r="I22" s="110">
        <f t="shared" si="15"/>
        <v>18</v>
      </c>
      <c r="J22" s="109">
        <f t="shared" si="1"/>
        <v>3.5647704786366625</v>
      </c>
      <c r="K22" s="107">
        <f t="shared" si="6"/>
        <v>0.44899678420174716</v>
      </c>
      <c r="L22" s="111">
        <f t="shared" si="16"/>
        <v>0.35734271285726654</v>
      </c>
      <c r="M22" s="110">
        <f t="shared" si="17"/>
        <v>46.562838342007446</v>
      </c>
      <c r="N22" s="110">
        <f t="shared" si="18"/>
        <v>5</v>
      </c>
      <c r="O22" s="109">
        <f t="shared" si="2"/>
        <v>1.9340847908405652</v>
      </c>
      <c r="P22" s="107">
        <f t="shared" si="7"/>
        <v>0.24360554393758307</v>
      </c>
      <c r="Q22" s="111">
        <v>1</v>
      </c>
      <c r="R22" s="110">
        <f t="shared" si="19"/>
        <v>48.72855175326361</v>
      </c>
      <c r="S22" s="110">
        <f t="shared" si="20"/>
        <v>27.071417640702002</v>
      </c>
      <c r="T22" s="109">
        <f t="shared" si="3"/>
        <v>0.6799450071497428</v>
      </c>
      <c r="U22" s="107">
        <f t="shared" si="8"/>
        <v>0.08564173302989961</v>
      </c>
      <c r="V22" s="111">
        <v>0.6</v>
      </c>
      <c r="W22" s="110">
        <f t="shared" si="21"/>
        <v>44</v>
      </c>
      <c r="X22" s="110">
        <f t="shared" si="22"/>
        <v>19</v>
      </c>
      <c r="Y22" s="109">
        <f t="shared" si="4"/>
        <v>1.1479755502741786</v>
      </c>
      <c r="Z22" s="107">
        <f t="shared" si="9"/>
        <v>0.14459201048266787</v>
      </c>
    </row>
    <row r="23" spans="1:26" ht="12.75">
      <c r="A23" s="131">
        <v>2014</v>
      </c>
      <c r="B23" s="31">
        <f t="shared" si="10"/>
        <v>5.468426363421805</v>
      </c>
      <c r="C23" s="109">
        <f t="shared" si="11"/>
        <v>25.154761271740302</v>
      </c>
      <c r="D23" s="109">
        <f t="shared" si="12"/>
        <v>4</v>
      </c>
      <c r="E23" s="109">
        <f t="shared" si="0"/>
        <v>0.5857186074664404</v>
      </c>
      <c r="F23" s="107">
        <f t="shared" si="5"/>
        <v>0.07551804336324386</v>
      </c>
      <c r="G23" s="111">
        <f t="shared" si="13"/>
        <v>0.43747410907374434</v>
      </c>
      <c r="H23" s="110">
        <f t="shared" si="14"/>
        <v>44.8410961800588</v>
      </c>
      <c r="I23" s="110">
        <f t="shared" si="15"/>
        <v>18</v>
      </c>
      <c r="J23" s="109">
        <f t="shared" si="1"/>
        <v>3.4519547563223476</v>
      </c>
      <c r="K23" s="107">
        <f t="shared" si="6"/>
        <v>0.4450684435372718</v>
      </c>
      <c r="L23" s="111">
        <f t="shared" si="16"/>
        <v>0.3609161399858392</v>
      </c>
      <c r="M23" s="110">
        <f t="shared" si="17"/>
        <v>47.02846672542752</v>
      </c>
      <c r="N23" s="110">
        <f t="shared" si="18"/>
        <v>5</v>
      </c>
      <c r="O23" s="109">
        <f t="shared" si="2"/>
        <v>1.8889905401890756</v>
      </c>
      <c r="P23" s="107">
        <f t="shared" si="7"/>
        <v>0.24355188260760446</v>
      </c>
      <c r="Q23" s="111">
        <v>1</v>
      </c>
      <c r="R23" s="110">
        <f t="shared" si="19"/>
        <v>49.21583727079624</v>
      </c>
      <c r="S23" s="110">
        <f t="shared" si="20"/>
        <v>27.34213181710902</v>
      </c>
      <c r="T23" s="109">
        <f t="shared" si="3"/>
        <v>0.6813693269754836</v>
      </c>
      <c r="U23" s="107">
        <f t="shared" si="8"/>
        <v>0.08785050999744289</v>
      </c>
      <c r="V23" s="111">
        <v>0.6</v>
      </c>
      <c r="W23" s="110">
        <f t="shared" si="21"/>
        <v>44</v>
      </c>
      <c r="X23" s="110">
        <f t="shared" si="22"/>
        <v>19</v>
      </c>
      <c r="Y23" s="109">
        <f t="shared" si="4"/>
        <v>1.1479755502741786</v>
      </c>
      <c r="Z23" s="107">
        <f t="shared" si="9"/>
        <v>0.148011120494437</v>
      </c>
    </row>
    <row r="24" spans="1:26" ht="12.75">
      <c r="A24" s="131">
        <v>2015</v>
      </c>
      <c r="B24" s="31">
        <f t="shared" si="10"/>
        <v>5.523110627056023</v>
      </c>
      <c r="C24" s="109">
        <f t="shared" si="11"/>
        <v>25.406308884457705</v>
      </c>
      <c r="D24" s="109">
        <f t="shared" si="12"/>
        <v>4</v>
      </c>
      <c r="E24" s="109">
        <f t="shared" si="0"/>
        <v>0.5597321267763039</v>
      </c>
      <c r="F24" s="107">
        <f t="shared" si="5"/>
        <v>0.07387578575667976</v>
      </c>
      <c r="G24" s="111">
        <f t="shared" si="13"/>
        <v>0.4418488501644818</v>
      </c>
      <c r="H24" s="110">
        <f t="shared" si="14"/>
        <v>45.28950714185939</v>
      </c>
      <c r="I24" s="110">
        <f t="shared" si="15"/>
        <v>18</v>
      </c>
      <c r="J24" s="109">
        <f t="shared" si="1"/>
        <v>3.3416345492791204</v>
      </c>
      <c r="K24" s="107">
        <f t="shared" si="6"/>
        <v>0.4410428957534593</v>
      </c>
      <c r="L24" s="111">
        <f t="shared" si="16"/>
        <v>0.3645253013856976</v>
      </c>
      <c r="M24" s="110">
        <f t="shared" si="17"/>
        <v>47.4987513926818</v>
      </c>
      <c r="N24" s="110">
        <f t="shared" si="18"/>
        <v>5</v>
      </c>
      <c r="O24" s="109">
        <f t="shared" si="2"/>
        <v>1.8445124843897776</v>
      </c>
      <c r="P24" s="107">
        <f t="shared" si="7"/>
        <v>0.24344646770071562</v>
      </c>
      <c r="Q24" s="111">
        <v>1</v>
      </c>
      <c r="R24" s="110">
        <f t="shared" si="19"/>
        <v>49.707995643504205</v>
      </c>
      <c r="S24" s="110">
        <f t="shared" si="20"/>
        <v>27.615553135280113</v>
      </c>
      <c r="T24" s="109">
        <f t="shared" si="3"/>
        <v>0.6828109185283396</v>
      </c>
      <c r="U24" s="107">
        <f t="shared" si="8"/>
        <v>0.09012023915804442</v>
      </c>
      <c r="V24" s="111">
        <v>0.6</v>
      </c>
      <c r="W24" s="110">
        <f t="shared" si="21"/>
        <v>44</v>
      </c>
      <c r="X24" s="110">
        <f t="shared" si="22"/>
        <v>19</v>
      </c>
      <c r="Y24" s="109">
        <f t="shared" si="4"/>
        <v>1.1479755502741786</v>
      </c>
      <c r="Z24" s="107">
        <f t="shared" si="9"/>
        <v>0.15151461163110086</v>
      </c>
    </row>
    <row r="25" spans="1:26" ht="12.75">
      <c r="A25" s="131">
        <v>2016</v>
      </c>
      <c r="B25" s="31">
        <f t="shared" si="10"/>
        <v>5.5783417333265835</v>
      </c>
      <c r="C25" s="109">
        <f t="shared" si="11"/>
        <v>25.660371973302283</v>
      </c>
      <c r="D25" s="109">
        <f t="shared" si="12"/>
        <v>4</v>
      </c>
      <c r="E25" s="109">
        <f t="shared" si="0"/>
        <v>0.5346558958818226</v>
      </c>
      <c r="F25" s="107">
        <f t="shared" si="5"/>
        <v>0.07501579345629769</v>
      </c>
      <c r="G25" s="111">
        <f t="shared" si="13"/>
        <v>0.4462673386661266</v>
      </c>
      <c r="H25" s="110">
        <f t="shared" si="14"/>
        <v>45.742402213277984</v>
      </c>
      <c r="I25" s="110">
        <f t="shared" si="15"/>
        <v>18</v>
      </c>
      <c r="J25" s="109">
        <f t="shared" si="1"/>
        <v>3.233789515065202</v>
      </c>
      <c r="K25" s="107">
        <f t="shared" si="6"/>
        <v>0.45372226924229403</v>
      </c>
      <c r="L25" s="111">
        <f t="shared" si="16"/>
        <v>0.3681705543995546</v>
      </c>
      <c r="M25" s="110">
        <f t="shared" si="17"/>
        <v>47.97373890660862</v>
      </c>
      <c r="N25" s="110">
        <f t="shared" si="18"/>
        <v>5</v>
      </c>
      <c r="O25" s="109">
        <f t="shared" si="2"/>
        <v>1.8006526032183374</v>
      </c>
      <c r="P25" s="107">
        <f t="shared" si="7"/>
        <v>0.2526435877917043</v>
      </c>
      <c r="Q25" s="111">
        <v>1.5</v>
      </c>
      <c r="R25" s="110">
        <f t="shared" si="19"/>
        <v>50.20507559993925</v>
      </c>
      <c r="S25" s="110">
        <f t="shared" si="20"/>
        <v>27.891708666632915</v>
      </c>
      <c r="T25" s="109">
        <f t="shared" si="3"/>
        <v>0.5081885848114409</v>
      </c>
      <c r="U25" s="107">
        <f t="shared" si="8"/>
        <v>0.07130225292323268</v>
      </c>
      <c r="V25" s="111">
        <v>0.75</v>
      </c>
      <c r="W25" s="110">
        <f t="shared" si="21"/>
        <v>44</v>
      </c>
      <c r="X25" s="110">
        <f t="shared" si="22"/>
        <v>19</v>
      </c>
      <c r="Y25" s="109">
        <f t="shared" si="4"/>
        <v>1.0499578284689943</v>
      </c>
      <c r="Z25" s="107">
        <f t="shared" si="9"/>
        <v>0.1473160965864713</v>
      </c>
    </row>
    <row r="26" spans="1:26" ht="12.75">
      <c r="A26" s="131">
        <v>2017</v>
      </c>
      <c r="B26" s="31">
        <f t="shared" si="10"/>
        <v>5.634125150659849</v>
      </c>
      <c r="C26" s="109">
        <f t="shared" si="11"/>
        <v>25.916975693035305</v>
      </c>
      <c r="D26" s="109">
        <f t="shared" si="12"/>
        <v>4</v>
      </c>
      <c r="E26" s="109">
        <f t="shared" si="0"/>
        <v>0.5104690635390382</v>
      </c>
      <c r="F26" s="107">
        <f t="shared" si="5"/>
        <v>0.07339045932509432</v>
      </c>
      <c r="G26" s="111">
        <f t="shared" si="13"/>
        <v>0.4507300120527879</v>
      </c>
      <c r="H26" s="110">
        <f t="shared" si="14"/>
        <v>46.19982623541076</v>
      </c>
      <c r="I26" s="110">
        <f t="shared" si="15"/>
        <v>18</v>
      </c>
      <c r="J26" s="109">
        <f t="shared" si="1"/>
        <v>3.128398526579797</v>
      </c>
      <c r="K26" s="107">
        <f t="shared" si="6"/>
        <v>0.4497718299045977</v>
      </c>
      <c r="L26" s="111">
        <f t="shared" si="16"/>
        <v>0.37185225994355015</v>
      </c>
      <c r="M26" s="110">
        <f t="shared" si="17"/>
        <v>48.453476295674704</v>
      </c>
      <c r="N26" s="110">
        <f t="shared" si="18"/>
        <v>5</v>
      </c>
      <c r="O26" s="109">
        <f t="shared" si="2"/>
        <v>1.7574126603962872</v>
      </c>
      <c r="P26" s="107">
        <f t="shared" si="7"/>
        <v>0.2526643269545676</v>
      </c>
      <c r="Q26" s="111">
        <v>1.5</v>
      </c>
      <c r="R26" s="110">
        <f t="shared" si="19"/>
        <v>50.70712635593864</v>
      </c>
      <c r="S26" s="110">
        <f t="shared" si="20"/>
        <v>28.170625753299245</v>
      </c>
      <c r="T26" s="109">
        <f t="shared" si="3"/>
        <v>0.5092854077655311</v>
      </c>
      <c r="U26" s="107">
        <f t="shared" si="8"/>
        <v>0.07322028438775681</v>
      </c>
      <c r="V26" s="111">
        <v>0.75</v>
      </c>
      <c r="W26" s="110">
        <f t="shared" si="21"/>
        <v>44</v>
      </c>
      <c r="X26" s="110">
        <f t="shared" si="22"/>
        <v>19</v>
      </c>
      <c r="Y26" s="109">
        <f t="shared" si="4"/>
        <v>1.0499578284689943</v>
      </c>
      <c r="Z26" s="107">
        <f t="shared" si="9"/>
        <v>0.15095309942798354</v>
      </c>
    </row>
    <row r="27" spans="1:26" ht="12.75">
      <c r="A27" s="131">
        <v>2018</v>
      </c>
      <c r="B27" s="31">
        <f t="shared" si="10"/>
        <v>5.6904664021664475</v>
      </c>
      <c r="C27" s="109">
        <f t="shared" si="11"/>
        <v>26.17614544996566</v>
      </c>
      <c r="D27" s="109">
        <f t="shared" si="12"/>
        <v>4</v>
      </c>
      <c r="E27" s="109">
        <f t="shared" si="0"/>
        <v>0.48715082773992285</v>
      </c>
      <c r="F27" s="107">
        <f t="shared" si="5"/>
        <v>0.07252296984431232</v>
      </c>
      <c r="G27" s="111">
        <f t="shared" si="13"/>
        <v>0.45523731217331576</v>
      </c>
      <c r="H27" s="110">
        <f t="shared" si="14"/>
        <v>46.66182449776487</v>
      </c>
      <c r="I27" s="110">
        <f t="shared" si="15"/>
        <v>18</v>
      </c>
      <c r="J27" s="109">
        <f t="shared" si="1"/>
        <v>3.0254396899530174</v>
      </c>
      <c r="K27" s="107">
        <f t="shared" si="6"/>
        <v>0.45040233723545603</v>
      </c>
      <c r="L27" s="111">
        <f t="shared" si="16"/>
        <v>0.37557078254298565</v>
      </c>
      <c r="M27" s="110">
        <f t="shared" si="17"/>
        <v>48.93801105863145</v>
      </c>
      <c r="N27" s="110">
        <f t="shared" si="18"/>
        <v>5</v>
      </c>
      <c r="O27" s="109">
        <f t="shared" si="2"/>
        <v>1.7147942020006273</v>
      </c>
      <c r="P27" s="107">
        <f t="shared" si="7"/>
        <v>0.25528432082904456</v>
      </c>
      <c r="Q27" s="111">
        <v>1.75</v>
      </c>
      <c r="R27" s="110">
        <f t="shared" si="19"/>
        <v>51.21419761949803</v>
      </c>
      <c r="S27" s="110">
        <f t="shared" si="20"/>
        <v>28.452332010832237</v>
      </c>
      <c r="T27" s="109">
        <f t="shared" si="3"/>
        <v>0.43985103596267605</v>
      </c>
      <c r="U27" s="107">
        <f t="shared" si="8"/>
        <v>0.06548136963064116</v>
      </c>
      <c r="V27" s="111">
        <v>0.75</v>
      </c>
      <c r="W27" s="110">
        <f t="shared" si="21"/>
        <v>44</v>
      </c>
      <c r="X27" s="110">
        <f t="shared" si="22"/>
        <v>19</v>
      </c>
      <c r="Y27" s="109">
        <f t="shared" si="4"/>
        <v>1.0499578284689943</v>
      </c>
      <c r="Z27" s="107">
        <f t="shared" si="9"/>
        <v>0.15630900246054583</v>
      </c>
    </row>
    <row r="28" spans="1:26" ht="12.75">
      <c r="A28" s="131">
        <v>2019</v>
      </c>
      <c r="B28" s="31">
        <f t="shared" si="10"/>
        <v>5.747371066188112</v>
      </c>
      <c r="C28" s="109">
        <f t="shared" si="11"/>
        <v>26.437906904465315</v>
      </c>
      <c r="D28" s="109">
        <f t="shared" si="12"/>
        <v>4</v>
      </c>
      <c r="E28" s="109">
        <f t="shared" si="0"/>
        <v>0.46468045139638325</v>
      </c>
      <c r="F28" s="107">
        <f t="shared" si="5"/>
        <v>0.07090951493008067</v>
      </c>
      <c r="G28" s="111">
        <f t="shared" si="13"/>
        <v>0.45978968529504893</v>
      </c>
      <c r="H28" s="110">
        <f t="shared" si="14"/>
        <v>47.128442742742514</v>
      </c>
      <c r="I28" s="110">
        <f t="shared" si="15"/>
        <v>18</v>
      </c>
      <c r="J28" s="109">
        <f t="shared" si="1"/>
        <v>2.924890363158618</v>
      </c>
      <c r="K28" s="107">
        <f t="shared" si="6"/>
        <v>0.44633372514809294</v>
      </c>
      <c r="L28" s="111">
        <f t="shared" si="16"/>
        <v>0.3793264903684155</v>
      </c>
      <c r="M28" s="110">
        <f t="shared" si="17"/>
        <v>49.42739116921777</v>
      </c>
      <c r="N28" s="110">
        <f t="shared" si="18"/>
        <v>5</v>
      </c>
      <c r="O28" s="109">
        <f t="shared" si="2"/>
        <v>1.6727985550319135</v>
      </c>
      <c r="P28" s="107">
        <f t="shared" si="7"/>
        <v>0.25526646054638846</v>
      </c>
      <c r="Q28" s="111">
        <v>1.75</v>
      </c>
      <c r="R28" s="110">
        <f t="shared" si="19"/>
        <v>51.72633959569301</v>
      </c>
      <c r="S28" s="110">
        <f t="shared" si="20"/>
        <v>28.73685533094056</v>
      </c>
      <c r="T28" s="109">
        <f t="shared" si="3"/>
        <v>0.4408194685737369</v>
      </c>
      <c r="U28" s="107">
        <f t="shared" si="8"/>
        <v>0.06726836602307501</v>
      </c>
      <c r="V28" s="111">
        <v>0.75</v>
      </c>
      <c r="W28" s="110">
        <f t="shared" si="21"/>
        <v>44</v>
      </c>
      <c r="X28" s="110">
        <f t="shared" si="22"/>
        <v>19</v>
      </c>
      <c r="Y28" s="109">
        <f t="shared" si="4"/>
        <v>1.0499578284689943</v>
      </c>
      <c r="Z28" s="107">
        <f t="shared" si="9"/>
        <v>0.16022193335236293</v>
      </c>
    </row>
    <row r="29" spans="1:26" ht="13.5" thickBot="1">
      <c r="A29" s="132">
        <v>2020</v>
      </c>
      <c r="B29" s="32">
        <f t="shared" si="10"/>
        <v>5.804844776849993</v>
      </c>
      <c r="C29" s="112">
        <f t="shared" si="11"/>
        <v>26.70228597350997</v>
      </c>
      <c r="D29" s="112">
        <f t="shared" si="12"/>
        <v>4</v>
      </c>
      <c r="E29" s="112">
        <f t="shared" si="0"/>
        <v>0.4430372777607445</v>
      </c>
      <c r="F29" s="108">
        <f t="shared" si="5"/>
        <v>0.0693009263225541</v>
      </c>
      <c r="G29" s="113">
        <f t="shared" si="13"/>
        <v>0.4643875821479994</v>
      </c>
      <c r="H29" s="114">
        <f t="shared" si="14"/>
        <v>47.59972717016994</v>
      </c>
      <c r="I29" s="114">
        <f t="shared" si="15"/>
        <v>18</v>
      </c>
      <c r="J29" s="112">
        <f t="shared" si="1"/>
        <v>2.826727175330515</v>
      </c>
      <c r="K29" s="108">
        <f t="shared" si="6"/>
        <v>0.44216327055289345</v>
      </c>
      <c r="L29" s="113">
        <f t="shared" si="16"/>
        <v>0.3831197552720996</v>
      </c>
      <c r="M29" s="114">
        <f t="shared" si="17"/>
        <v>49.921665080909946</v>
      </c>
      <c r="N29" s="114">
        <f t="shared" si="18"/>
        <v>5</v>
      </c>
      <c r="O29" s="112">
        <f t="shared" si="2"/>
        <v>1.6314268261445144</v>
      </c>
      <c r="P29" s="108">
        <f t="shared" si="7"/>
        <v>0.25519159663204516</v>
      </c>
      <c r="Q29" s="113">
        <v>1.75</v>
      </c>
      <c r="R29" s="114">
        <f t="shared" si="19"/>
        <v>52.243602991649944</v>
      </c>
      <c r="S29" s="114">
        <f t="shared" si="20"/>
        <v>29.024223884249967</v>
      </c>
      <c r="T29" s="112">
        <f t="shared" si="3"/>
        <v>0.44179974984257075</v>
      </c>
      <c r="U29" s="108">
        <f t="shared" si="8"/>
        <v>0.06910734931361044</v>
      </c>
      <c r="V29" s="113">
        <v>0.75</v>
      </c>
      <c r="W29" s="114">
        <f t="shared" si="21"/>
        <v>44</v>
      </c>
      <c r="X29" s="114">
        <f t="shared" si="22"/>
        <v>19</v>
      </c>
      <c r="Y29" s="112">
        <f t="shared" si="4"/>
        <v>1.0499578284689943</v>
      </c>
      <c r="Z29" s="108">
        <f t="shared" si="9"/>
        <v>0.16423685717889688</v>
      </c>
    </row>
    <row r="30" ht="13.5" thickBot="1"/>
    <row r="31" spans="1:26" ht="13.5" thickBot="1">
      <c r="A31" s="137" t="s">
        <v>47</v>
      </c>
      <c r="B31" s="133">
        <v>0.01</v>
      </c>
      <c r="C31" s="134">
        <v>0.01</v>
      </c>
      <c r="D31" s="134">
        <v>0</v>
      </c>
      <c r="E31" s="135"/>
      <c r="F31" s="136"/>
      <c r="G31" s="133">
        <v>0.01</v>
      </c>
      <c r="H31" s="134">
        <v>0.01</v>
      </c>
      <c r="I31" s="134">
        <v>0</v>
      </c>
      <c r="J31" s="135"/>
      <c r="K31" s="136"/>
      <c r="L31" s="133">
        <v>0.01</v>
      </c>
      <c r="M31" s="134">
        <v>0.01</v>
      </c>
      <c r="N31" s="134">
        <v>0</v>
      </c>
      <c r="O31" s="135"/>
      <c r="P31" s="136"/>
      <c r="Q31" s="138"/>
      <c r="R31" s="134">
        <v>0.01</v>
      </c>
      <c r="S31" s="134">
        <v>0.01</v>
      </c>
      <c r="T31" s="135"/>
      <c r="U31" s="136"/>
      <c r="V31" s="138"/>
      <c r="W31" s="134">
        <v>0</v>
      </c>
      <c r="X31" s="134">
        <v>0</v>
      </c>
      <c r="Y31" s="135"/>
      <c r="Z31" s="13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20.421875" style="0" customWidth="1"/>
    <col min="3" max="3" width="20.421875" style="5" customWidth="1"/>
    <col min="4" max="7" width="20.421875" style="0" customWidth="1"/>
    <col min="8" max="12" width="8.7109375" style="0" customWidth="1"/>
    <col min="13" max="17" width="12.57421875" style="0" customWidth="1"/>
    <col min="18" max="18" width="23.8515625" style="0" customWidth="1"/>
    <col min="21" max="23" width="18.28125" style="0" customWidth="1"/>
  </cols>
  <sheetData>
    <row r="1" spans="1:2" ht="12.75">
      <c r="A1" t="s">
        <v>12</v>
      </c>
      <c r="B1" s="5">
        <v>17500000</v>
      </c>
    </row>
    <row r="2" spans="1:2" ht="12.75">
      <c r="A2" t="s">
        <v>13</v>
      </c>
      <c r="B2" s="7">
        <v>0.015</v>
      </c>
    </row>
    <row r="3" ht="12.75">
      <c r="B3" s="7"/>
    </row>
    <row r="4" spans="1:2" ht="13.5" thickBot="1">
      <c r="A4" s="155" t="s">
        <v>15</v>
      </c>
      <c r="B4" s="159" t="s">
        <v>49</v>
      </c>
    </row>
    <row r="5" spans="1:2" ht="12.75">
      <c r="A5" s="1">
        <v>2005</v>
      </c>
      <c r="B5" s="16">
        <v>87797725000</v>
      </c>
    </row>
    <row r="6" spans="1:2" ht="12.75">
      <c r="A6" s="3">
        <v>2006</v>
      </c>
      <c r="B6" s="18">
        <f>B5*(1+$B$21)</f>
        <v>90080465850</v>
      </c>
    </row>
    <row r="7" spans="1:2" ht="12.75">
      <c r="A7" s="3">
        <v>2007</v>
      </c>
      <c r="B7" s="18">
        <f aca="true" t="shared" si="0" ref="B7:B19">B6*(1+$B$21)</f>
        <v>92422557962.1</v>
      </c>
    </row>
    <row r="8" spans="1:2" ht="12.75">
      <c r="A8" s="3">
        <v>2008</v>
      </c>
      <c r="B8" s="18">
        <f t="shared" si="0"/>
        <v>94825544469.11461</v>
      </c>
    </row>
    <row r="9" spans="1:2" ht="12.75">
      <c r="A9" s="3">
        <v>2009</v>
      </c>
      <c r="B9" s="18">
        <f t="shared" si="0"/>
        <v>97291008625.31158</v>
      </c>
    </row>
    <row r="10" spans="1:2" ht="12.75">
      <c r="A10" s="3">
        <v>2010</v>
      </c>
      <c r="B10" s="18">
        <f t="shared" si="0"/>
        <v>99820574849.56969</v>
      </c>
    </row>
    <row r="11" spans="1:2" ht="12.75">
      <c r="A11" s="3">
        <v>2011</v>
      </c>
      <c r="B11" s="18">
        <f t="shared" si="0"/>
        <v>102415909795.65851</v>
      </c>
    </row>
    <row r="12" spans="1:2" ht="12.75">
      <c r="A12" s="3">
        <v>2012</v>
      </c>
      <c r="B12" s="18">
        <f t="shared" si="0"/>
        <v>105078723450.34563</v>
      </c>
    </row>
    <row r="13" spans="1:2" ht="12.75">
      <c r="A13" s="3">
        <v>2013</v>
      </c>
      <c r="B13" s="18">
        <f t="shared" si="0"/>
        <v>107810770260.05461</v>
      </c>
    </row>
    <row r="14" spans="1:2" ht="12.75">
      <c r="A14" s="3">
        <v>2014</v>
      </c>
      <c r="B14" s="18">
        <f t="shared" si="0"/>
        <v>110613850286.81604</v>
      </c>
    </row>
    <row r="15" spans="1:2" ht="12.75">
      <c r="A15" s="3">
        <v>2015</v>
      </c>
      <c r="B15" s="18">
        <f t="shared" si="0"/>
        <v>113489810394.27325</v>
      </c>
    </row>
    <row r="16" spans="1:2" ht="12.75">
      <c r="A16" s="3">
        <v>2016</v>
      </c>
      <c r="B16" s="18">
        <f t="shared" si="0"/>
        <v>116440545464.52437</v>
      </c>
    </row>
    <row r="17" spans="1:2" ht="12.75">
      <c r="A17" s="3">
        <v>2017</v>
      </c>
      <c r="B17" s="18">
        <f t="shared" si="0"/>
        <v>119467999646.602</v>
      </c>
    </row>
    <row r="18" spans="1:2" ht="12.75">
      <c r="A18" s="3">
        <v>2018</v>
      </c>
      <c r="B18" s="18">
        <f t="shared" si="0"/>
        <v>122574167637.41367</v>
      </c>
    </row>
    <row r="19" spans="1:2" ht="12.75">
      <c r="A19" s="3">
        <v>2019</v>
      </c>
      <c r="B19" s="18">
        <f t="shared" si="0"/>
        <v>125761095995.98642</v>
      </c>
    </row>
    <row r="20" spans="1:2" ht="13.5" thickBot="1">
      <c r="A20" s="10">
        <v>2020</v>
      </c>
      <c r="B20" s="106">
        <f>B19*(1+$B$21)</f>
        <v>129030884491.88206</v>
      </c>
    </row>
    <row r="21" spans="1:3" ht="12.75">
      <c r="A21" s="309" t="s">
        <v>52</v>
      </c>
      <c r="B21" s="311">
        <v>0.026</v>
      </c>
      <c r="C21" s="7"/>
    </row>
    <row r="22" spans="1:3" ht="13.5" thickBot="1">
      <c r="A22" s="310"/>
      <c r="B22" s="312"/>
      <c r="C22" s="8"/>
    </row>
    <row r="23" ht="13.5" thickBot="1"/>
    <row r="24" spans="1:18" ht="12.75">
      <c r="A24" s="155" t="s">
        <v>15</v>
      </c>
      <c r="B24" s="155" t="s">
        <v>0</v>
      </c>
      <c r="C24" s="156" t="s">
        <v>11</v>
      </c>
      <c r="D24" s="155" t="s">
        <v>10</v>
      </c>
      <c r="E24" s="155" t="s">
        <v>70</v>
      </c>
      <c r="F24" s="155" t="s">
        <v>69</v>
      </c>
      <c r="G24" s="155" t="s">
        <v>71</v>
      </c>
      <c r="H24" s="301" t="s">
        <v>72</v>
      </c>
      <c r="I24" s="302"/>
      <c r="J24" s="302"/>
      <c r="K24" s="302"/>
      <c r="L24" s="303"/>
      <c r="M24" s="193" t="s">
        <v>73</v>
      </c>
      <c r="N24" s="194"/>
      <c r="O24" s="194"/>
      <c r="P24" s="194"/>
      <c r="Q24" s="195"/>
      <c r="R24" s="307" t="s">
        <v>74</v>
      </c>
    </row>
    <row r="25" spans="1:18" ht="12.75">
      <c r="A25" s="158"/>
      <c r="B25" s="155"/>
      <c r="C25" s="156"/>
      <c r="D25" s="158"/>
      <c r="E25" s="158"/>
      <c r="F25" s="158"/>
      <c r="G25" s="158"/>
      <c r="H25" s="179" t="s">
        <v>1</v>
      </c>
      <c r="I25" s="158" t="s">
        <v>2</v>
      </c>
      <c r="J25" s="158" t="s">
        <v>3</v>
      </c>
      <c r="K25" s="158" t="s">
        <v>4</v>
      </c>
      <c r="L25" s="180" t="s">
        <v>5</v>
      </c>
      <c r="M25" s="179" t="s">
        <v>1</v>
      </c>
      <c r="N25" s="158" t="s">
        <v>2</v>
      </c>
      <c r="O25" s="158" t="s">
        <v>3</v>
      </c>
      <c r="P25" s="158" t="s">
        <v>4</v>
      </c>
      <c r="Q25" s="180" t="s">
        <v>5</v>
      </c>
      <c r="R25" s="308"/>
    </row>
    <row r="26" spans="1:18" ht="12.75">
      <c r="A26" s="161">
        <v>2005</v>
      </c>
      <c r="B26" s="304" t="s">
        <v>6</v>
      </c>
      <c r="C26" s="162">
        <f>$B$1</f>
        <v>17500000</v>
      </c>
      <c r="D26" s="163">
        <f>Passenger_Mode_Shares!F14</f>
        <v>0.08556625932704215</v>
      </c>
      <c r="E26" s="161">
        <v>1.09</v>
      </c>
      <c r="F26" s="164">
        <f aca="true" t="shared" si="1" ref="F26:F41">B5*D26</f>
        <v>7512522905.674332</v>
      </c>
      <c r="G26" s="164">
        <f aca="true" t="shared" si="2" ref="G26:G57">F26/E26</f>
        <v>6892222849.242506</v>
      </c>
      <c r="H26" s="181">
        <v>2.89</v>
      </c>
      <c r="I26" s="165">
        <v>33.35</v>
      </c>
      <c r="J26" s="165">
        <v>1.37</v>
      </c>
      <c r="K26" s="163">
        <v>0.029</v>
      </c>
      <c r="L26" s="182">
        <v>0.09605</v>
      </c>
      <c r="M26" s="196">
        <f>H26*$G26</f>
        <v>19918524034.310844</v>
      </c>
      <c r="N26" s="161">
        <f>I26*$G26</f>
        <v>229855632022.23758</v>
      </c>
      <c r="O26" s="161">
        <f>J26*$G26</f>
        <v>9442345303.462234</v>
      </c>
      <c r="P26" s="161">
        <f>K26*$G26</f>
        <v>199874462.62803268</v>
      </c>
      <c r="Q26" s="197">
        <f>L26*$G26</f>
        <v>661998004.6697427</v>
      </c>
      <c r="R26" s="207" t="s">
        <v>53</v>
      </c>
    </row>
    <row r="27" spans="1:18" ht="12.75">
      <c r="A27" s="161">
        <v>2006</v>
      </c>
      <c r="B27" s="304"/>
      <c r="C27" s="162">
        <f aca="true" t="shared" si="3" ref="C27:C41">C26*(1+$B$2)</f>
        <v>17762500</v>
      </c>
      <c r="D27" s="163">
        <f>Passenger_Mode_Shares!F15</f>
        <v>0.08640902706303914</v>
      </c>
      <c r="E27" s="161">
        <v>1.09</v>
      </c>
      <c r="F27" s="164">
        <f t="shared" si="1"/>
        <v>7783765411.483823</v>
      </c>
      <c r="G27" s="164">
        <f t="shared" si="2"/>
        <v>7141069184.847544</v>
      </c>
      <c r="H27" s="181">
        <f>H26*$R27</f>
        <v>2.89</v>
      </c>
      <c r="I27" s="165">
        <f aca="true" t="shared" si="4" ref="I27:L41">I26*$R27</f>
        <v>33.35</v>
      </c>
      <c r="J27" s="165">
        <f t="shared" si="4"/>
        <v>1.37</v>
      </c>
      <c r="K27" s="163">
        <f t="shared" si="4"/>
        <v>0.029</v>
      </c>
      <c r="L27" s="182">
        <f t="shared" si="4"/>
        <v>0.09605</v>
      </c>
      <c r="M27" s="196">
        <f aca="true" t="shared" si="5" ref="M27:M90">H27*$G27</f>
        <v>20637689944.209404</v>
      </c>
      <c r="N27" s="161">
        <f aca="true" t="shared" si="6" ref="N27:N90">I27*$G27</f>
        <v>238154657314.6656</v>
      </c>
      <c r="O27" s="161">
        <f aca="true" t="shared" si="7" ref="O27:O90">J27*$G27</f>
        <v>9783264783.241137</v>
      </c>
      <c r="P27" s="161">
        <f aca="true" t="shared" si="8" ref="P27:P90">K27*$G27</f>
        <v>207091006.36057878</v>
      </c>
      <c r="Q27" s="197">
        <f aca="true" t="shared" si="9" ref="Q27:Q90">L27*$G27</f>
        <v>685899695.2046065</v>
      </c>
      <c r="R27" s="166">
        <v>1</v>
      </c>
    </row>
    <row r="28" spans="1:18" ht="12.75">
      <c r="A28" s="161">
        <v>2007</v>
      </c>
      <c r="B28" s="304"/>
      <c r="C28" s="162">
        <f t="shared" si="3"/>
        <v>18028937.5</v>
      </c>
      <c r="D28" s="163">
        <f>Passenger_Mode_Shares!F16</f>
        <v>0.08474084219505618</v>
      </c>
      <c r="E28" s="161">
        <v>1.09</v>
      </c>
      <c r="F28" s="164">
        <f t="shared" si="1"/>
        <v>7831965399.529749</v>
      </c>
      <c r="G28" s="164">
        <f t="shared" si="2"/>
        <v>7185289357.366741</v>
      </c>
      <c r="H28" s="181">
        <f aca="true" t="shared" si="10" ref="H28:H41">H27*$R28</f>
        <v>2.89</v>
      </c>
      <c r="I28" s="165">
        <f t="shared" si="4"/>
        <v>33.35</v>
      </c>
      <c r="J28" s="165">
        <f t="shared" si="4"/>
        <v>1.37</v>
      </c>
      <c r="K28" s="163">
        <f t="shared" si="4"/>
        <v>0.029</v>
      </c>
      <c r="L28" s="182">
        <f t="shared" si="4"/>
        <v>0.09605</v>
      </c>
      <c r="M28" s="196">
        <f t="shared" si="5"/>
        <v>20765486242.789883</v>
      </c>
      <c r="N28" s="161">
        <f t="shared" si="6"/>
        <v>239629400068.18082</v>
      </c>
      <c r="O28" s="161">
        <f t="shared" si="7"/>
        <v>9843846419.592436</v>
      </c>
      <c r="P28" s="161">
        <f t="shared" si="8"/>
        <v>208373391.3636355</v>
      </c>
      <c r="Q28" s="197">
        <f t="shared" si="9"/>
        <v>690147042.7750754</v>
      </c>
      <c r="R28" s="166">
        <v>1</v>
      </c>
    </row>
    <row r="29" spans="1:18" ht="12.75">
      <c r="A29" s="161">
        <v>2008</v>
      </c>
      <c r="B29" s="304"/>
      <c r="C29" s="162">
        <f t="shared" si="3"/>
        <v>18299371.5625</v>
      </c>
      <c r="D29" s="163">
        <f>Passenger_Mode_Shares!F17</f>
        <v>0.08307372399519233</v>
      </c>
      <c r="E29" s="161">
        <v>1.09</v>
      </c>
      <c r="F29" s="164">
        <f t="shared" si="1"/>
        <v>7877511108.921064</v>
      </c>
      <c r="G29" s="164">
        <f t="shared" si="2"/>
        <v>7227074411.854187</v>
      </c>
      <c r="H29" s="181">
        <f t="shared" si="10"/>
        <v>2.89</v>
      </c>
      <c r="I29" s="165">
        <f t="shared" si="4"/>
        <v>33.35</v>
      </c>
      <c r="J29" s="165">
        <f t="shared" si="4"/>
        <v>1.37</v>
      </c>
      <c r="K29" s="163">
        <f t="shared" si="4"/>
        <v>0.029</v>
      </c>
      <c r="L29" s="182">
        <f t="shared" si="4"/>
        <v>0.09605</v>
      </c>
      <c r="M29" s="196">
        <f t="shared" si="5"/>
        <v>20886245050.258602</v>
      </c>
      <c r="N29" s="161">
        <f t="shared" si="6"/>
        <v>241022931635.33716</v>
      </c>
      <c r="O29" s="161">
        <f t="shared" si="7"/>
        <v>9901091944.240236</v>
      </c>
      <c r="P29" s="161">
        <f t="shared" si="8"/>
        <v>209585157.94377142</v>
      </c>
      <c r="Q29" s="197">
        <f t="shared" si="9"/>
        <v>694160497.2585946</v>
      </c>
      <c r="R29" s="166">
        <v>1</v>
      </c>
    </row>
    <row r="30" spans="1:18" ht="12.75">
      <c r="A30" s="161">
        <v>2009</v>
      </c>
      <c r="B30" s="304"/>
      <c r="C30" s="162">
        <f t="shared" si="3"/>
        <v>18573862.135937497</v>
      </c>
      <c r="D30" s="163">
        <f>Passenger_Mode_Shares!F18</f>
        <v>0.08140812987086679</v>
      </c>
      <c r="E30" s="161">
        <v>1.09</v>
      </c>
      <c r="F30" s="164">
        <f t="shared" si="1"/>
        <v>7920279065.436987</v>
      </c>
      <c r="G30" s="164">
        <f t="shared" si="2"/>
        <v>7266311069.208244</v>
      </c>
      <c r="H30" s="181">
        <f t="shared" si="10"/>
        <v>2.89</v>
      </c>
      <c r="I30" s="165">
        <f t="shared" si="4"/>
        <v>33.35</v>
      </c>
      <c r="J30" s="165">
        <f t="shared" si="4"/>
        <v>1.37</v>
      </c>
      <c r="K30" s="163">
        <f t="shared" si="4"/>
        <v>0.029</v>
      </c>
      <c r="L30" s="182">
        <f t="shared" si="4"/>
        <v>0.09605</v>
      </c>
      <c r="M30" s="196">
        <f t="shared" si="5"/>
        <v>20999638990.011826</v>
      </c>
      <c r="N30" s="161">
        <f t="shared" si="6"/>
        <v>242331474158.09497</v>
      </c>
      <c r="O30" s="161">
        <f t="shared" si="7"/>
        <v>9954846164.815296</v>
      </c>
      <c r="P30" s="161">
        <f t="shared" si="8"/>
        <v>210723021.0070391</v>
      </c>
      <c r="Q30" s="197">
        <f t="shared" si="9"/>
        <v>697929178.1974518</v>
      </c>
      <c r="R30" s="166">
        <v>1</v>
      </c>
    </row>
    <row r="31" spans="1:18" ht="12.75">
      <c r="A31" s="161">
        <v>2010</v>
      </c>
      <c r="B31" s="304"/>
      <c r="C31" s="162">
        <f t="shared" si="3"/>
        <v>18852470.067976557</v>
      </c>
      <c r="D31" s="163">
        <f>Passenger_Mode_Shares!F19</f>
        <v>0.07974453309592713</v>
      </c>
      <c r="E31" s="161">
        <v>1.09</v>
      </c>
      <c r="F31" s="164">
        <f t="shared" si="1"/>
        <v>7960145134.745981</v>
      </c>
      <c r="G31" s="164">
        <f t="shared" si="2"/>
        <v>7302885444.721083</v>
      </c>
      <c r="H31" s="181">
        <f t="shared" si="10"/>
        <v>2.89</v>
      </c>
      <c r="I31" s="165">
        <f t="shared" si="4"/>
        <v>33.35</v>
      </c>
      <c r="J31" s="165">
        <f t="shared" si="4"/>
        <v>1.37</v>
      </c>
      <c r="K31" s="163">
        <f t="shared" si="4"/>
        <v>0.029</v>
      </c>
      <c r="L31" s="182">
        <f t="shared" si="4"/>
        <v>0.09605</v>
      </c>
      <c r="M31" s="196">
        <f t="shared" si="5"/>
        <v>21105338935.24393</v>
      </c>
      <c r="N31" s="161">
        <f t="shared" si="6"/>
        <v>243551229581.44812</v>
      </c>
      <c r="O31" s="161">
        <f t="shared" si="7"/>
        <v>10004953059.267883</v>
      </c>
      <c r="P31" s="161">
        <f t="shared" si="8"/>
        <v>211783677.8969114</v>
      </c>
      <c r="Q31" s="197">
        <f t="shared" si="9"/>
        <v>701442146.96546</v>
      </c>
      <c r="R31" s="166">
        <v>1</v>
      </c>
    </row>
    <row r="32" spans="1:18" ht="12.75">
      <c r="A32" s="161">
        <v>2011</v>
      </c>
      <c r="B32" s="304"/>
      <c r="C32" s="162">
        <f t="shared" si="3"/>
        <v>19135257.118996203</v>
      </c>
      <c r="D32" s="163">
        <f>Passenger_Mode_Shares!F20</f>
        <v>0.08046456015039817</v>
      </c>
      <c r="E32" s="161">
        <v>1.09</v>
      </c>
      <c r="F32" s="164">
        <f t="shared" si="1"/>
        <v>8240851134.1105175</v>
      </c>
      <c r="G32" s="164">
        <f t="shared" si="2"/>
        <v>7560413884.505061</v>
      </c>
      <c r="H32" s="181">
        <f t="shared" si="10"/>
        <v>2.7455</v>
      </c>
      <c r="I32" s="165">
        <f t="shared" si="4"/>
        <v>31.6825</v>
      </c>
      <c r="J32" s="165">
        <f t="shared" si="4"/>
        <v>1.3015</v>
      </c>
      <c r="K32" s="163">
        <f t="shared" si="4"/>
        <v>0.02755</v>
      </c>
      <c r="L32" s="182">
        <f t="shared" si="4"/>
        <v>0.0912475</v>
      </c>
      <c r="M32" s="196">
        <f t="shared" si="5"/>
        <v>20757116319.908646</v>
      </c>
      <c r="N32" s="161">
        <f t="shared" si="6"/>
        <v>239532812895.8316</v>
      </c>
      <c r="O32" s="161">
        <f t="shared" si="7"/>
        <v>9839878670.683338</v>
      </c>
      <c r="P32" s="161">
        <f t="shared" si="8"/>
        <v>208289402.51811445</v>
      </c>
      <c r="Q32" s="197">
        <f t="shared" si="9"/>
        <v>689868865.9263755</v>
      </c>
      <c r="R32" s="166">
        <v>0.95</v>
      </c>
    </row>
    <row r="33" spans="1:18" ht="12.75">
      <c r="A33" s="161">
        <v>2012</v>
      </c>
      <c r="B33" s="304"/>
      <c r="C33" s="162">
        <f t="shared" si="3"/>
        <v>19422285.975781143</v>
      </c>
      <c r="D33" s="163">
        <f>Passenger_Mode_Shares!F21</f>
        <v>0.07881293161131747</v>
      </c>
      <c r="E33" s="161">
        <v>1.09</v>
      </c>
      <c r="F33" s="164">
        <f t="shared" si="1"/>
        <v>8281562245.096631</v>
      </c>
      <c r="G33" s="164">
        <f t="shared" si="2"/>
        <v>7597763527.611588</v>
      </c>
      <c r="H33" s="181">
        <f t="shared" si="10"/>
        <v>2.6082249999999996</v>
      </c>
      <c r="I33" s="165">
        <f t="shared" si="4"/>
        <v>30.098375</v>
      </c>
      <c r="J33" s="165">
        <f t="shared" si="4"/>
        <v>1.236425</v>
      </c>
      <c r="K33" s="163">
        <f t="shared" si="4"/>
        <v>0.0261725</v>
      </c>
      <c r="L33" s="182">
        <f t="shared" si="4"/>
        <v>0.08668512499999999</v>
      </c>
      <c r="M33" s="196">
        <f t="shared" si="5"/>
        <v>19816676776.80473</v>
      </c>
      <c r="N33" s="161">
        <f t="shared" si="6"/>
        <v>228680335815.37643</v>
      </c>
      <c r="O33" s="161">
        <f t="shared" si="7"/>
        <v>9394064769.627157</v>
      </c>
      <c r="P33" s="161">
        <f t="shared" si="8"/>
        <v>198852465.92641428</v>
      </c>
      <c r="Q33" s="197">
        <f t="shared" si="9"/>
        <v>658613081.1114513</v>
      </c>
      <c r="R33" s="166">
        <v>0.95</v>
      </c>
    </row>
    <row r="34" spans="1:18" ht="12.75">
      <c r="A34" s="166">
        <v>2013</v>
      </c>
      <c r="B34" s="304"/>
      <c r="C34" s="162">
        <f t="shared" si="3"/>
        <v>19713620.26541786</v>
      </c>
      <c r="D34" s="163">
        <f>Passenger_Mode_Shares!F22</f>
        <v>0.07716392834810223</v>
      </c>
      <c r="E34" s="161">
        <v>1.09</v>
      </c>
      <c r="F34" s="164">
        <f t="shared" si="1"/>
        <v>8319102551.500566</v>
      </c>
      <c r="G34" s="164">
        <f t="shared" si="2"/>
        <v>7632204175.688592</v>
      </c>
      <c r="H34" s="181">
        <f t="shared" si="10"/>
        <v>2.4778137499999993</v>
      </c>
      <c r="I34" s="165">
        <f t="shared" si="4"/>
        <v>28.59345625</v>
      </c>
      <c r="J34" s="165">
        <f t="shared" si="4"/>
        <v>1.17460375</v>
      </c>
      <c r="K34" s="163">
        <f t="shared" si="4"/>
        <v>0.024863875</v>
      </c>
      <c r="L34" s="182">
        <f t="shared" si="4"/>
        <v>0.08235086874999999</v>
      </c>
      <c r="M34" s="196">
        <f t="shared" si="5"/>
        <v>18911180449.3286</v>
      </c>
      <c r="N34" s="161">
        <f t="shared" si="6"/>
        <v>218231096188.61905</v>
      </c>
      <c r="O34" s="161">
        <f t="shared" si="7"/>
        <v>8964815645.529478</v>
      </c>
      <c r="P34" s="161">
        <f t="shared" si="8"/>
        <v>189766170.5987992</v>
      </c>
      <c r="Q34" s="197">
        <f t="shared" si="9"/>
        <v>628518644.3453331</v>
      </c>
      <c r="R34" s="166">
        <v>0.95</v>
      </c>
    </row>
    <row r="35" spans="1:18" ht="12.75">
      <c r="A35" s="166">
        <v>2014</v>
      </c>
      <c r="B35" s="304"/>
      <c r="C35" s="162">
        <f t="shared" si="3"/>
        <v>20009324.569399126</v>
      </c>
      <c r="D35" s="163">
        <f>Passenger_Mode_Shares!F23</f>
        <v>0.07551804336324386</v>
      </c>
      <c r="E35" s="161">
        <v>1.09</v>
      </c>
      <c r="F35" s="164">
        <f t="shared" si="1"/>
        <v>8353341542.535138</v>
      </c>
      <c r="G35" s="164">
        <f t="shared" si="2"/>
        <v>7663616094.0689335</v>
      </c>
      <c r="H35" s="181">
        <f t="shared" si="10"/>
        <v>2.3539230624999994</v>
      </c>
      <c r="I35" s="165">
        <f t="shared" si="4"/>
        <v>27.163783437499998</v>
      </c>
      <c r="J35" s="165">
        <f t="shared" si="4"/>
        <v>1.1158735624999998</v>
      </c>
      <c r="K35" s="163">
        <f t="shared" si="4"/>
        <v>0.02362068125</v>
      </c>
      <c r="L35" s="182">
        <f t="shared" si="4"/>
        <v>0.07823332531249998</v>
      </c>
      <c r="M35" s="196">
        <f t="shared" si="5"/>
        <v>18039562665.97503</v>
      </c>
      <c r="N35" s="161">
        <f t="shared" si="6"/>
        <v>208172807927.42813</v>
      </c>
      <c r="O35" s="161">
        <f t="shared" si="7"/>
        <v>8551626592.521034</v>
      </c>
      <c r="P35" s="161">
        <f t="shared" si="8"/>
        <v>181019832.9803723</v>
      </c>
      <c r="Q35" s="197">
        <f t="shared" si="9"/>
        <v>599550170.9574053</v>
      </c>
      <c r="R35" s="166">
        <v>0.95</v>
      </c>
    </row>
    <row r="36" spans="1:18" ht="12.75">
      <c r="A36" s="166">
        <v>2015</v>
      </c>
      <c r="B36" s="304"/>
      <c r="C36" s="162">
        <f t="shared" si="3"/>
        <v>20309464.43794011</v>
      </c>
      <c r="D36" s="163">
        <f>Passenger_Mode_Shares!F24</f>
        <v>0.07387578575667976</v>
      </c>
      <c r="E36" s="161">
        <v>1.09</v>
      </c>
      <c r="F36" s="164">
        <f t="shared" si="1"/>
        <v>8384148918.253539</v>
      </c>
      <c r="G36" s="164">
        <f t="shared" si="2"/>
        <v>7691879741.517008</v>
      </c>
      <c r="H36" s="181">
        <f t="shared" si="10"/>
        <v>2.236226909374999</v>
      </c>
      <c r="I36" s="165">
        <f t="shared" si="4"/>
        <v>25.805594265624997</v>
      </c>
      <c r="J36" s="165">
        <f t="shared" si="4"/>
        <v>1.0600798843749997</v>
      </c>
      <c r="K36" s="163">
        <f t="shared" si="4"/>
        <v>0.022439647187499998</v>
      </c>
      <c r="L36" s="182">
        <f t="shared" si="4"/>
        <v>0.07432165904687497</v>
      </c>
      <c r="M36" s="196">
        <f t="shared" si="5"/>
        <v>17200788461.656746</v>
      </c>
      <c r="N36" s="161">
        <f t="shared" si="6"/>
        <v>198493527749.5684</v>
      </c>
      <c r="O36" s="161">
        <f t="shared" si="7"/>
        <v>8154006987.013752</v>
      </c>
      <c r="P36" s="161">
        <f t="shared" si="8"/>
        <v>172603067.60832033</v>
      </c>
      <c r="Q36" s="197">
        <f t="shared" si="9"/>
        <v>571673263.5785918</v>
      </c>
      <c r="R36" s="166">
        <v>0.95</v>
      </c>
    </row>
    <row r="37" spans="1:18" ht="12.75">
      <c r="A37" s="166">
        <v>2016</v>
      </c>
      <c r="B37" s="304"/>
      <c r="C37" s="162">
        <f t="shared" si="3"/>
        <v>20614106.40450921</v>
      </c>
      <c r="D37" s="163">
        <f>Passenger_Mode_Shares!F25</f>
        <v>0.07501579345629769</v>
      </c>
      <c r="E37" s="161">
        <v>1.09</v>
      </c>
      <c r="F37" s="164">
        <f t="shared" si="1"/>
        <v>8734879908.505402</v>
      </c>
      <c r="G37" s="164">
        <f t="shared" si="2"/>
        <v>8013651292.20679</v>
      </c>
      <c r="H37" s="181">
        <f t="shared" si="10"/>
        <v>2.1915023711874992</v>
      </c>
      <c r="I37" s="165">
        <f t="shared" si="4"/>
        <v>25.289482380312496</v>
      </c>
      <c r="J37" s="165">
        <f t="shared" si="4"/>
        <v>1.0388782866874997</v>
      </c>
      <c r="K37" s="163">
        <f t="shared" si="4"/>
        <v>0.021990854243749997</v>
      </c>
      <c r="L37" s="182">
        <f t="shared" si="4"/>
        <v>0.07283522586593748</v>
      </c>
      <c r="M37" s="196">
        <f t="shared" si="5"/>
        <v>17561935808.740948</v>
      </c>
      <c r="N37" s="161">
        <f t="shared" si="6"/>
        <v>202661093156.2321</v>
      </c>
      <c r="O37" s="161">
        <f t="shared" si="7"/>
        <v>8325208324.558858</v>
      </c>
      <c r="P37" s="161">
        <f t="shared" si="8"/>
        <v>176227037.52715832</v>
      </c>
      <c r="Q37" s="197">
        <f t="shared" si="9"/>
        <v>583676101.8787433</v>
      </c>
      <c r="R37" s="166">
        <v>0.98</v>
      </c>
    </row>
    <row r="38" spans="1:18" ht="12.75">
      <c r="A38" s="166">
        <v>2017</v>
      </c>
      <c r="B38" s="304"/>
      <c r="C38" s="162">
        <f t="shared" si="3"/>
        <v>20923318.000576846</v>
      </c>
      <c r="D38" s="163">
        <f>Passenger_Mode_Shares!F26</f>
        <v>0.07339045932509432</v>
      </c>
      <c r="E38" s="161">
        <v>1.09</v>
      </c>
      <c r="F38" s="164">
        <f t="shared" si="1"/>
        <v>8767811368.714327</v>
      </c>
      <c r="G38" s="164">
        <f t="shared" si="2"/>
        <v>8043863641.022318</v>
      </c>
      <c r="H38" s="181">
        <f t="shared" si="10"/>
        <v>2.147672323763749</v>
      </c>
      <c r="I38" s="165">
        <f t="shared" si="4"/>
        <v>24.783692732706246</v>
      </c>
      <c r="J38" s="165">
        <f t="shared" si="4"/>
        <v>1.0181007209537496</v>
      </c>
      <c r="K38" s="163">
        <f t="shared" si="4"/>
        <v>0.021551037158874995</v>
      </c>
      <c r="L38" s="182">
        <f t="shared" si="4"/>
        <v>0.07137852134861873</v>
      </c>
      <c r="M38" s="196">
        <f t="shared" si="5"/>
        <v>17275583317.953133</v>
      </c>
      <c r="N38" s="161">
        <f t="shared" si="6"/>
        <v>199356644862.88483</v>
      </c>
      <c r="O38" s="161">
        <f t="shared" si="7"/>
        <v>8189463372.178475</v>
      </c>
      <c r="P38" s="161">
        <f t="shared" si="8"/>
        <v>173353604.2285955</v>
      </c>
      <c r="Q38" s="197">
        <f t="shared" si="9"/>
        <v>574159092.6260896</v>
      </c>
      <c r="R38" s="166">
        <v>0.98</v>
      </c>
    </row>
    <row r="39" spans="1:18" ht="12.75">
      <c r="A39" s="166">
        <v>2018</v>
      </c>
      <c r="B39" s="304"/>
      <c r="C39" s="162">
        <f t="shared" si="3"/>
        <v>21237167.770585496</v>
      </c>
      <c r="D39" s="163">
        <f>Passenger_Mode_Shares!F27</f>
        <v>0.07252296984431232</v>
      </c>
      <c r="E39" s="161">
        <v>1.09</v>
      </c>
      <c r="F39" s="164">
        <f t="shared" si="1"/>
        <v>8889442663.259834</v>
      </c>
      <c r="G39" s="164">
        <f t="shared" si="2"/>
        <v>8155451984.642049</v>
      </c>
      <c r="H39" s="181">
        <f t="shared" si="10"/>
        <v>2.104718877288474</v>
      </c>
      <c r="I39" s="165">
        <f t="shared" si="4"/>
        <v>24.28801887805212</v>
      </c>
      <c r="J39" s="165">
        <f t="shared" si="4"/>
        <v>0.9977387065346746</v>
      </c>
      <c r="K39" s="163">
        <f t="shared" si="4"/>
        <v>0.021120016415697496</v>
      </c>
      <c r="L39" s="182">
        <f t="shared" si="4"/>
        <v>0.06995095092164635</v>
      </c>
      <c r="M39" s="196">
        <f t="shared" si="5"/>
        <v>17164933744.89587</v>
      </c>
      <c r="N39" s="161">
        <f t="shared" si="6"/>
        <v>198079771762.03372</v>
      </c>
      <c r="O39" s="161">
        <f t="shared" si="7"/>
        <v>8137010114.362402</v>
      </c>
      <c r="P39" s="161">
        <f t="shared" si="8"/>
        <v>172243279.7930728</v>
      </c>
      <c r="Q39" s="197">
        <f t="shared" si="9"/>
        <v>570481621.5215393</v>
      </c>
      <c r="R39" s="166">
        <v>0.98</v>
      </c>
    </row>
    <row r="40" spans="1:18" ht="12.75">
      <c r="A40" s="166">
        <v>2019</v>
      </c>
      <c r="B40" s="304"/>
      <c r="C40" s="162">
        <f t="shared" si="3"/>
        <v>21555725.287144277</v>
      </c>
      <c r="D40" s="163">
        <f>Passenger_Mode_Shares!F28</f>
        <v>0.07090951493008067</v>
      </c>
      <c r="E40" s="161">
        <v>1.09</v>
      </c>
      <c r="F40" s="164">
        <f t="shared" si="1"/>
        <v>8917658314.150707</v>
      </c>
      <c r="G40" s="164">
        <f t="shared" si="2"/>
        <v>8181337902.890556</v>
      </c>
      <c r="H40" s="181">
        <f t="shared" si="10"/>
        <v>2.0626244997427046</v>
      </c>
      <c r="I40" s="165">
        <f t="shared" si="4"/>
        <v>23.802258500491078</v>
      </c>
      <c r="J40" s="165">
        <f t="shared" si="4"/>
        <v>0.9777839324039811</v>
      </c>
      <c r="K40" s="163">
        <f t="shared" si="4"/>
        <v>0.020697616087383547</v>
      </c>
      <c r="L40" s="182">
        <f t="shared" si="4"/>
        <v>0.06855193190321343</v>
      </c>
      <c r="M40" s="196">
        <f t="shared" si="5"/>
        <v>16875027999.175661</v>
      </c>
      <c r="N40" s="161">
        <f t="shared" si="6"/>
        <v>194734319644.46658</v>
      </c>
      <c r="O40" s="161">
        <f t="shared" si="7"/>
        <v>7999580747.014069</v>
      </c>
      <c r="P40" s="161">
        <f t="shared" si="8"/>
        <v>169334190.99518836</v>
      </c>
      <c r="Q40" s="197">
        <f t="shared" si="9"/>
        <v>560846518.7961324</v>
      </c>
      <c r="R40" s="166">
        <v>0.98</v>
      </c>
    </row>
    <row r="41" spans="1:18" ht="12.75">
      <c r="A41" s="166">
        <v>2020</v>
      </c>
      <c r="B41" s="304"/>
      <c r="C41" s="162">
        <f t="shared" si="3"/>
        <v>21879061.16645144</v>
      </c>
      <c r="D41" s="163">
        <f>Passenger_Mode_Shares!F29</f>
        <v>0.0693009263225541</v>
      </c>
      <c r="E41" s="161">
        <v>1.09</v>
      </c>
      <c r="F41" s="164">
        <f t="shared" si="1"/>
        <v>8941959819.505907</v>
      </c>
      <c r="G41" s="164">
        <f t="shared" si="2"/>
        <v>8203632861.932024</v>
      </c>
      <c r="H41" s="181">
        <f t="shared" si="10"/>
        <v>2.0213720097478505</v>
      </c>
      <c r="I41" s="165">
        <f t="shared" si="4"/>
        <v>23.326213330481256</v>
      </c>
      <c r="J41" s="165">
        <f t="shared" si="4"/>
        <v>0.9582282537559015</v>
      </c>
      <c r="K41" s="163">
        <f t="shared" si="4"/>
        <v>0.020283663765635875</v>
      </c>
      <c r="L41" s="182">
        <f t="shared" si="4"/>
        <v>0.06718089326514916</v>
      </c>
      <c r="M41" s="196">
        <f t="shared" si="5"/>
        <v>16582593845.357046</v>
      </c>
      <c r="N41" s="161">
        <f t="shared" si="6"/>
        <v>191359690222.37286</v>
      </c>
      <c r="O41" s="161">
        <f t="shared" si="7"/>
        <v>7860952791.743651</v>
      </c>
      <c r="P41" s="161">
        <f t="shared" si="8"/>
        <v>166399730.6281503</v>
      </c>
      <c r="Q41" s="197">
        <f t="shared" si="9"/>
        <v>551127383.6839254</v>
      </c>
      <c r="R41" s="166">
        <v>0.98</v>
      </c>
    </row>
    <row r="42" spans="1:18" ht="12.75">
      <c r="A42" s="49">
        <v>2005</v>
      </c>
      <c r="B42" s="305" t="s">
        <v>7</v>
      </c>
      <c r="C42" s="50">
        <f>$B$1</f>
        <v>17500000</v>
      </c>
      <c r="D42" s="51">
        <f>Passenger_Mode_Shares!K14</f>
        <v>0.45152964910308935</v>
      </c>
      <c r="E42" s="52">
        <v>17.44</v>
      </c>
      <c r="F42" s="53">
        <f aca="true" t="shared" si="11" ref="F42:F57">B5*D42</f>
        <v>39643275961.29954</v>
      </c>
      <c r="G42" s="53">
        <f t="shared" si="2"/>
        <v>2273123621.6341476</v>
      </c>
      <c r="H42" s="183">
        <v>4.75</v>
      </c>
      <c r="I42" s="54">
        <v>11.75</v>
      </c>
      <c r="J42" s="54">
        <v>14.41</v>
      </c>
      <c r="K42" s="51">
        <v>1.5</v>
      </c>
      <c r="L42" s="184">
        <v>0.3157</v>
      </c>
      <c r="M42" s="198">
        <f t="shared" si="5"/>
        <v>10797337202.762201</v>
      </c>
      <c r="N42" s="52">
        <f t="shared" si="6"/>
        <v>26709202554.201233</v>
      </c>
      <c r="O42" s="52">
        <f t="shared" si="7"/>
        <v>32755711387.74807</v>
      </c>
      <c r="P42" s="52">
        <f t="shared" si="8"/>
        <v>3409685432.4512215</v>
      </c>
      <c r="Q42" s="199">
        <f t="shared" si="9"/>
        <v>717625127.3499004</v>
      </c>
      <c r="R42" s="208" t="s">
        <v>53</v>
      </c>
    </row>
    <row r="43" spans="1:18" ht="12.75">
      <c r="A43" s="49">
        <v>2006</v>
      </c>
      <c r="B43" s="305"/>
      <c r="C43" s="50">
        <f aca="true" t="shared" si="12" ref="C43:C57">C42*(1+$B$2)</f>
        <v>17762500</v>
      </c>
      <c r="D43" s="51">
        <f>Passenger_Mode_Shares!K15</f>
        <v>0.461387221477406</v>
      </c>
      <c r="E43" s="52">
        <v>17.44</v>
      </c>
      <c r="F43" s="53">
        <f t="shared" si="11"/>
        <v>41561975847.92186</v>
      </c>
      <c r="G43" s="53">
        <f t="shared" si="2"/>
        <v>2383140816.9679966</v>
      </c>
      <c r="H43" s="183">
        <f>H42*$R43</f>
        <v>4.75</v>
      </c>
      <c r="I43" s="54">
        <f aca="true" t="shared" si="13" ref="I43:L57">I42*$R43</f>
        <v>11.75</v>
      </c>
      <c r="J43" s="54">
        <f t="shared" si="13"/>
        <v>14.41</v>
      </c>
      <c r="K43" s="51">
        <f t="shared" si="13"/>
        <v>1.5</v>
      </c>
      <c r="L43" s="184">
        <f t="shared" si="13"/>
        <v>0.3157</v>
      </c>
      <c r="M43" s="198">
        <f t="shared" si="5"/>
        <v>11319918880.597984</v>
      </c>
      <c r="N43" s="52">
        <f t="shared" si="6"/>
        <v>28001904599.37396</v>
      </c>
      <c r="O43" s="52">
        <f t="shared" si="7"/>
        <v>34341059172.50883</v>
      </c>
      <c r="P43" s="52">
        <f t="shared" si="8"/>
        <v>3574711225.451995</v>
      </c>
      <c r="Q43" s="199">
        <f t="shared" si="9"/>
        <v>752357555.9167964</v>
      </c>
      <c r="R43" s="49">
        <v>1</v>
      </c>
    </row>
    <row r="44" spans="1:18" ht="12.75">
      <c r="A44" s="49">
        <v>2007</v>
      </c>
      <c r="B44" s="305"/>
      <c r="C44" s="50">
        <f t="shared" si="12"/>
        <v>18028937.5</v>
      </c>
      <c r="D44" s="51">
        <f>Passenger_Mode_Shares!K16</f>
        <v>0.4579026645569115</v>
      </c>
      <c r="E44" s="52">
        <v>17.44</v>
      </c>
      <c r="F44" s="53">
        <f t="shared" si="11"/>
        <v>42320535556.011185</v>
      </c>
      <c r="G44" s="53">
        <f t="shared" si="2"/>
        <v>2426636213.0740356</v>
      </c>
      <c r="H44" s="183">
        <f aca="true" t="shared" si="14" ref="H44:H57">H43*$R44</f>
        <v>4.75</v>
      </c>
      <c r="I44" s="54">
        <f t="shared" si="13"/>
        <v>11.75</v>
      </c>
      <c r="J44" s="54">
        <f t="shared" si="13"/>
        <v>14.41</v>
      </c>
      <c r="K44" s="51">
        <f t="shared" si="13"/>
        <v>1.5</v>
      </c>
      <c r="L44" s="184">
        <f t="shared" si="13"/>
        <v>0.3157</v>
      </c>
      <c r="M44" s="198">
        <f t="shared" si="5"/>
        <v>11526522012.10167</v>
      </c>
      <c r="N44" s="52">
        <f t="shared" si="6"/>
        <v>28512975503.61992</v>
      </c>
      <c r="O44" s="52">
        <f t="shared" si="7"/>
        <v>34967827830.39685</v>
      </c>
      <c r="P44" s="52">
        <f t="shared" si="8"/>
        <v>3639954319.6110535</v>
      </c>
      <c r="Q44" s="199">
        <f t="shared" si="9"/>
        <v>766089052.467473</v>
      </c>
      <c r="R44" s="49">
        <v>1</v>
      </c>
    </row>
    <row r="45" spans="1:18" ht="12.75">
      <c r="A45" s="49">
        <v>2008</v>
      </c>
      <c r="B45" s="305"/>
      <c r="C45" s="50">
        <f t="shared" si="12"/>
        <v>18299371.5625</v>
      </c>
      <c r="D45" s="51">
        <f>Passenger_Mode_Shares!K17</f>
        <v>0.4543282702579726</v>
      </c>
      <c r="E45" s="52">
        <v>17.44</v>
      </c>
      <c r="F45" s="53">
        <f t="shared" si="11"/>
        <v>43081925594.9233</v>
      </c>
      <c r="G45" s="53">
        <f t="shared" si="2"/>
        <v>2470293898.7914734</v>
      </c>
      <c r="H45" s="183">
        <f t="shared" si="14"/>
        <v>4.75</v>
      </c>
      <c r="I45" s="54">
        <f t="shared" si="13"/>
        <v>11.75</v>
      </c>
      <c r="J45" s="54">
        <f t="shared" si="13"/>
        <v>14.41</v>
      </c>
      <c r="K45" s="51">
        <f t="shared" si="13"/>
        <v>1.5</v>
      </c>
      <c r="L45" s="184">
        <f t="shared" si="13"/>
        <v>0.3157</v>
      </c>
      <c r="M45" s="198">
        <f t="shared" si="5"/>
        <v>11733896019.259499</v>
      </c>
      <c r="N45" s="52">
        <f t="shared" si="6"/>
        <v>29025953310.799812</v>
      </c>
      <c r="O45" s="52">
        <f t="shared" si="7"/>
        <v>35596935081.58513</v>
      </c>
      <c r="P45" s="52">
        <f t="shared" si="8"/>
        <v>3705440848.18721</v>
      </c>
      <c r="Q45" s="199">
        <f t="shared" si="9"/>
        <v>779871783.8484681</v>
      </c>
      <c r="R45" s="49">
        <v>1</v>
      </c>
    </row>
    <row r="46" spans="1:18" ht="12.75">
      <c r="A46" s="49">
        <v>2009</v>
      </c>
      <c r="B46" s="305"/>
      <c r="C46" s="50">
        <f t="shared" si="12"/>
        <v>18573862.135937497</v>
      </c>
      <c r="D46" s="51">
        <f>Passenger_Mode_Shares!K18</f>
        <v>0.45066289714664165</v>
      </c>
      <c r="E46" s="52">
        <v>17.44</v>
      </c>
      <c r="F46" s="53">
        <f t="shared" si="11"/>
        <v>43845447813.40182</v>
      </c>
      <c r="G46" s="53">
        <f t="shared" si="2"/>
        <v>2514073842.511572</v>
      </c>
      <c r="H46" s="183">
        <f t="shared" si="14"/>
        <v>4.75</v>
      </c>
      <c r="I46" s="54">
        <f t="shared" si="13"/>
        <v>11.75</v>
      </c>
      <c r="J46" s="54">
        <f t="shared" si="13"/>
        <v>14.41</v>
      </c>
      <c r="K46" s="51">
        <f t="shared" si="13"/>
        <v>1.5</v>
      </c>
      <c r="L46" s="184">
        <f t="shared" si="13"/>
        <v>0.3157</v>
      </c>
      <c r="M46" s="198">
        <f t="shared" si="5"/>
        <v>11941850751.929966</v>
      </c>
      <c r="N46" s="52">
        <f t="shared" si="6"/>
        <v>29540367649.51097</v>
      </c>
      <c r="O46" s="52">
        <f t="shared" si="7"/>
        <v>36227804070.59175</v>
      </c>
      <c r="P46" s="52">
        <f t="shared" si="8"/>
        <v>3771110763.767358</v>
      </c>
      <c r="Q46" s="199">
        <f t="shared" si="9"/>
        <v>793693112.0809032</v>
      </c>
      <c r="R46" s="49">
        <v>1</v>
      </c>
    </row>
    <row r="47" spans="1:18" ht="12.75">
      <c r="A47" s="49">
        <v>2010</v>
      </c>
      <c r="B47" s="305"/>
      <c r="C47" s="50">
        <f t="shared" si="12"/>
        <v>18852470.067976557</v>
      </c>
      <c r="D47" s="51">
        <f>Passenger_Mode_Shares!K19</f>
        <v>0.44690546894987604</v>
      </c>
      <c r="E47" s="52">
        <v>17.44</v>
      </c>
      <c r="F47" s="53">
        <f t="shared" si="11"/>
        <v>44610360813.99314</v>
      </c>
      <c r="G47" s="53">
        <f t="shared" si="2"/>
        <v>2557933532.912451</v>
      </c>
      <c r="H47" s="183">
        <f t="shared" si="14"/>
        <v>4.75</v>
      </c>
      <c r="I47" s="54">
        <f t="shared" si="13"/>
        <v>11.75</v>
      </c>
      <c r="J47" s="54">
        <f t="shared" si="13"/>
        <v>14.41</v>
      </c>
      <c r="K47" s="51">
        <f t="shared" si="13"/>
        <v>1.5</v>
      </c>
      <c r="L47" s="184">
        <f t="shared" si="13"/>
        <v>0.3157</v>
      </c>
      <c r="M47" s="198">
        <f t="shared" si="5"/>
        <v>12150184281.33414</v>
      </c>
      <c r="N47" s="52">
        <f t="shared" si="6"/>
        <v>30055719011.7213</v>
      </c>
      <c r="O47" s="52">
        <f t="shared" si="7"/>
        <v>36859822209.26842</v>
      </c>
      <c r="P47" s="52">
        <f t="shared" si="8"/>
        <v>3836900299.368676</v>
      </c>
      <c r="Q47" s="199">
        <f t="shared" si="9"/>
        <v>807539616.3404607</v>
      </c>
      <c r="R47" s="49">
        <v>1</v>
      </c>
    </row>
    <row r="48" spans="1:18" ht="12.75">
      <c r="A48" s="49">
        <v>2011</v>
      </c>
      <c r="B48" s="305"/>
      <c r="C48" s="50">
        <f t="shared" si="12"/>
        <v>19135257.118996203</v>
      </c>
      <c r="D48" s="51">
        <f>Passenger_Mode_Shares!K20</f>
        <v>0.4565658478047561</v>
      </c>
      <c r="E48" s="52">
        <v>17.44</v>
      </c>
      <c r="F48" s="53">
        <f t="shared" si="11"/>
        <v>46759606684.550255</v>
      </c>
      <c r="G48" s="53">
        <f t="shared" si="2"/>
        <v>2681170108.059074</v>
      </c>
      <c r="H48" s="183">
        <f t="shared" si="14"/>
        <v>4.655</v>
      </c>
      <c r="I48" s="54">
        <f t="shared" si="13"/>
        <v>11.515</v>
      </c>
      <c r="J48" s="54">
        <f t="shared" si="13"/>
        <v>14.1218</v>
      </c>
      <c r="K48" s="51">
        <f t="shared" si="13"/>
        <v>1.47</v>
      </c>
      <c r="L48" s="184">
        <f t="shared" si="13"/>
        <v>0.309386</v>
      </c>
      <c r="M48" s="198">
        <f t="shared" si="5"/>
        <v>12480846853.01499</v>
      </c>
      <c r="N48" s="52">
        <f t="shared" si="6"/>
        <v>30873673794.30024</v>
      </c>
      <c r="O48" s="52">
        <f t="shared" si="7"/>
        <v>37862948031.98863</v>
      </c>
      <c r="P48" s="52">
        <f t="shared" si="8"/>
        <v>3941320058.8468385</v>
      </c>
      <c r="Q48" s="199">
        <f t="shared" si="9"/>
        <v>829516495.0519646</v>
      </c>
      <c r="R48" s="49">
        <v>0.98</v>
      </c>
    </row>
    <row r="49" spans="1:18" ht="12.75">
      <c r="A49" s="49">
        <v>2012</v>
      </c>
      <c r="B49" s="305"/>
      <c r="C49" s="50">
        <f t="shared" si="12"/>
        <v>19422285.975781143</v>
      </c>
      <c r="D49" s="51">
        <f>Passenger_Mode_Shares!K21</f>
        <v>0.4528288976360734</v>
      </c>
      <c r="E49" s="52">
        <v>17.44</v>
      </c>
      <c r="F49" s="53">
        <f t="shared" si="11"/>
        <v>47582682505.025826</v>
      </c>
      <c r="G49" s="53">
        <f t="shared" si="2"/>
        <v>2728364822.5358844</v>
      </c>
      <c r="H49" s="183">
        <f t="shared" si="14"/>
        <v>4.5619000000000005</v>
      </c>
      <c r="I49" s="54">
        <f t="shared" si="13"/>
        <v>11.2847</v>
      </c>
      <c r="J49" s="54">
        <f t="shared" si="13"/>
        <v>13.839364</v>
      </c>
      <c r="K49" s="51">
        <f t="shared" si="13"/>
        <v>1.4405999999999999</v>
      </c>
      <c r="L49" s="184">
        <f t="shared" si="13"/>
        <v>0.30319828</v>
      </c>
      <c r="M49" s="198">
        <f t="shared" si="5"/>
        <v>12446527483.926453</v>
      </c>
      <c r="N49" s="52">
        <f t="shared" si="6"/>
        <v>30788778512.870697</v>
      </c>
      <c r="O49" s="52">
        <f t="shared" si="7"/>
        <v>37758833903.86951</v>
      </c>
      <c r="P49" s="52">
        <f t="shared" si="8"/>
        <v>3930482363.345195</v>
      </c>
      <c r="Q49" s="199">
        <f t="shared" si="9"/>
        <v>827235521.4053854</v>
      </c>
      <c r="R49" s="49">
        <v>0.98</v>
      </c>
    </row>
    <row r="50" spans="1:18" ht="12.75">
      <c r="A50" s="49">
        <v>2013</v>
      </c>
      <c r="B50" s="305"/>
      <c r="C50" s="50">
        <f t="shared" si="12"/>
        <v>19713620.26541786</v>
      </c>
      <c r="D50" s="51">
        <f>Passenger_Mode_Shares!K22</f>
        <v>0.44899678420174716</v>
      </c>
      <c r="E50" s="52">
        <v>17.44</v>
      </c>
      <c r="F50" s="53">
        <f t="shared" si="11"/>
        <v>48406689149.07788</v>
      </c>
      <c r="G50" s="53">
        <f t="shared" si="2"/>
        <v>2775612909.92419</v>
      </c>
      <c r="H50" s="183">
        <f t="shared" si="14"/>
        <v>4.470662000000001</v>
      </c>
      <c r="I50" s="54">
        <f t="shared" si="13"/>
        <v>11.059006</v>
      </c>
      <c r="J50" s="54">
        <f t="shared" si="13"/>
        <v>13.56257672</v>
      </c>
      <c r="K50" s="51">
        <f t="shared" si="13"/>
        <v>1.4117879999999998</v>
      </c>
      <c r="L50" s="184">
        <f t="shared" si="13"/>
        <v>0.2971343144</v>
      </c>
      <c r="M50" s="198">
        <f t="shared" si="5"/>
        <v>12408827163.107502</v>
      </c>
      <c r="N50" s="52">
        <f t="shared" si="6"/>
        <v>30695519824.52908</v>
      </c>
      <c r="O50" s="52">
        <f t="shared" si="7"/>
        <v>37644463035.86928</v>
      </c>
      <c r="P50" s="52">
        <f t="shared" si="8"/>
        <v>3918576998.876052</v>
      </c>
      <c r="Q50" s="199">
        <f t="shared" si="9"/>
        <v>824729839.0301131</v>
      </c>
      <c r="R50" s="49">
        <v>0.98</v>
      </c>
    </row>
    <row r="51" spans="1:18" ht="12.75">
      <c r="A51" s="49">
        <v>2014</v>
      </c>
      <c r="B51" s="305"/>
      <c r="C51" s="50">
        <f t="shared" si="12"/>
        <v>20009324.569399126</v>
      </c>
      <c r="D51" s="51">
        <f>Passenger_Mode_Shares!K23</f>
        <v>0.4450684435372718</v>
      </c>
      <c r="E51" s="52">
        <v>17.44</v>
      </c>
      <c r="F51" s="53">
        <f t="shared" si="11"/>
        <v>49230734180.81802</v>
      </c>
      <c r="G51" s="53">
        <f t="shared" si="2"/>
        <v>2822863198.4414</v>
      </c>
      <c r="H51" s="183">
        <f t="shared" si="14"/>
        <v>4.381248760000001</v>
      </c>
      <c r="I51" s="54">
        <f t="shared" si="13"/>
        <v>10.83782588</v>
      </c>
      <c r="J51" s="54">
        <f t="shared" si="13"/>
        <v>13.291325185599998</v>
      </c>
      <c r="K51" s="51">
        <f t="shared" si="13"/>
        <v>1.3835522399999998</v>
      </c>
      <c r="L51" s="184">
        <f t="shared" si="13"/>
        <v>0.291191628112</v>
      </c>
      <c r="M51" s="198">
        <f t="shared" si="5"/>
        <v>12367665887.82102</v>
      </c>
      <c r="N51" s="52">
        <f t="shared" si="6"/>
        <v>30593699827.767784</v>
      </c>
      <c r="O51" s="52">
        <f t="shared" si="7"/>
        <v>37519592724.94755</v>
      </c>
      <c r="P51" s="52">
        <f t="shared" si="8"/>
        <v>3905578701.417163</v>
      </c>
      <c r="Q51" s="199">
        <f t="shared" si="9"/>
        <v>821994130.691599</v>
      </c>
      <c r="R51" s="49">
        <v>0.98</v>
      </c>
    </row>
    <row r="52" spans="1:18" ht="12.75">
      <c r="A52" s="49">
        <v>2015</v>
      </c>
      <c r="B52" s="305"/>
      <c r="C52" s="50">
        <f t="shared" si="12"/>
        <v>20309464.43794011</v>
      </c>
      <c r="D52" s="51">
        <f>Passenger_Mode_Shares!K24</f>
        <v>0.4410428957534593</v>
      </c>
      <c r="E52" s="52">
        <v>17.44</v>
      </c>
      <c r="F52" s="53">
        <f t="shared" si="11"/>
        <v>50053874614.801315</v>
      </c>
      <c r="G52" s="53">
        <f t="shared" si="2"/>
        <v>2870061617.821176</v>
      </c>
      <c r="H52" s="183">
        <f t="shared" si="14"/>
        <v>4.293623784800001</v>
      </c>
      <c r="I52" s="54">
        <f t="shared" si="13"/>
        <v>10.6210693624</v>
      </c>
      <c r="J52" s="54">
        <f t="shared" si="13"/>
        <v>13.025498681887997</v>
      </c>
      <c r="K52" s="51">
        <f t="shared" si="13"/>
        <v>1.3558811951999998</v>
      </c>
      <c r="L52" s="184">
        <f t="shared" si="13"/>
        <v>0.28536779554976</v>
      </c>
      <c r="M52" s="198">
        <f t="shared" si="5"/>
        <v>12322964826.118572</v>
      </c>
      <c r="N52" s="52">
        <f t="shared" si="6"/>
        <v>30483123517.24067</v>
      </c>
      <c r="O52" s="52">
        <f t="shared" si="7"/>
        <v>37383983819.867065</v>
      </c>
      <c r="P52" s="52">
        <f t="shared" si="8"/>
        <v>3891462576.669021</v>
      </c>
      <c r="Q52" s="199">
        <f t="shared" si="9"/>
        <v>819023156.9696068</v>
      </c>
      <c r="R52" s="49">
        <v>0.98</v>
      </c>
    </row>
    <row r="53" spans="1:18" ht="12.75">
      <c r="A53" s="49">
        <v>2016</v>
      </c>
      <c r="B53" s="305"/>
      <c r="C53" s="50">
        <f t="shared" si="12"/>
        <v>20614106.40450921</v>
      </c>
      <c r="D53" s="51">
        <f>Passenger_Mode_Shares!K25</f>
        <v>0.45372226924229403</v>
      </c>
      <c r="E53" s="52">
        <v>17.44</v>
      </c>
      <c r="F53" s="53">
        <f t="shared" si="11"/>
        <v>52831668519.9745</v>
      </c>
      <c r="G53" s="53">
        <f t="shared" si="2"/>
        <v>3029338791.2829413</v>
      </c>
      <c r="H53" s="183">
        <f t="shared" si="14"/>
        <v>4.250687546952001</v>
      </c>
      <c r="I53" s="54">
        <f t="shared" si="13"/>
        <v>10.514858668776</v>
      </c>
      <c r="J53" s="54">
        <f t="shared" si="13"/>
        <v>12.895243695069118</v>
      </c>
      <c r="K53" s="51">
        <f t="shared" si="13"/>
        <v>1.3423223832479998</v>
      </c>
      <c r="L53" s="184">
        <f t="shared" si="13"/>
        <v>0.28251411759426237</v>
      </c>
      <c r="M53" s="198">
        <f t="shared" si="5"/>
        <v>12876772675.605026</v>
      </c>
      <c r="N53" s="52">
        <f t="shared" si="6"/>
        <v>31853069250.180847</v>
      </c>
      <c r="O53" s="52">
        <f t="shared" si="7"/>
        <v>39064061948.51965</v>
      </c>
      <c r="P53" s="52">
        <f t="shared" si="8"/>
        <v>4066349265.9805326</v>
      </c>
      <c r="Q53" s="199">
        <f t="shared" si="9"/>
        <v>855830975.5133696</v>
      </c>
      <c r="R53" s="49">
        <v>0.99</v>
      </c>
    </row>
    <row r="54" spans="1:18" ht="12.75">
      <c r="A54" s="49">
        <v>2017</v>
      </c>
      <c r="B54" s="305"/>
      <c r="C54" s="50">
        <f t="shared" si="12"/>
        <v>20923318.000576846</v>
      </c>
      <c r="D54" s="51">
        <f>Passenger_Mode_Shares!K26</f>
        <v>0.4497718299045977</v>
      </c>
      <c r="E54" s="52">
        <v>17.44</v>
      </c>
      <c r="F54" s="53">
        <f t="shared" si="11"/>
        <v>53733340816.09402</v>
      </c>
      <c r="G54" s="53">
        <f t="shared" si="2"/>
        <v>3081040184.4090605</v>
      </c>
      <c r="H54" s="183">
        <f t="shared" si="14"/>
        <v>4.208180671482481</v>
      </c>
      <c r="I54" s="54">
        <f t="shared" si="13"/>
        <v>10.40971008208824</v>
      </c>
      <c r="J54" s="54">
        <f t="shared" si="13"/>
        <v>12.766291258118427</v>
      </c>
      <c r="K54" s="51">
        <f t="shared" si="13"/>
        <v>1.3288991594155197</v>
      </c>
      <c r="L54" s="184">
        <f t="shared" si="13"/>
        <v>0.27968897641831975</v>
      </c>
      <c r="M54" s="198">
        <f t="shared" si="5"/>
        <v>12965573752.091026</v>
      </c>
      <c r="N54" s="52">
        <f t="shared" si="6"/>
        <v>32072735070.96201</v>
      </c>
      <c r="O54" s="52">
        <f t="shared" si="7"/>
        <v>39333456372.13297</v>
      </c>
      <c r="P54" s="52">
        <f t="shared" si="8"/>
        <v>4094391711.1866384</v>
      </c>
      <c r="Q54" s="199">
        <f t="shared" si="9"/>
        <v>861732975.4810812</v>
      </c>
      <c r="R54" s="49">
        <v>0.99</v>
      </c>
    </row>
    <row r="55" spans="1:18" ht="12.75">
      <c r="A55" s="49">
        <v>2018</v>
      </c>
      <c r="B55" s="305"/>
      <c r="C55" s="50">
        <f t="shared" si="12"/>
        <v>21237167.770585496</v>
      </c>
      <c r="D55" s="51">
        <f>Passenger_Mode_Shares!K27</f>
        <v>0.45040233723545603</v>
      </c>
      <c r="E55" s="52">
        <v>17.44</v>
      </c>
      <c r="F55" s="53">
        <f t="shared" si="11"/>
        <v>55207691588.58171</v>
      </c>
      <c r="G55" s="53">
        <f t="shared" si="2"/>
        <v>3165578646.134272</v>
      </c>
      <c r="H55" s="183">
        <f t="shared" si="14"/>
        <v>4.166098864767656</v>
      </c>
      <c r="I55" s="54">
        <f t="shared" si="13"/>
        <v>10.305612981267359</v>
      </c>
      <c r="J55" s="54">
        <f t="shared" si="13"/>
        <v>12.638628345537242</v>
      </c>
      <c r="K55" s="51">
        <f t="shared" si="13"/>
        <v>1.3156101678213645</v>
      </c>
      <c r="L55" s="184">
        <f t="shared" si="13"/>
        <v>0.27689208665413656</v>
      </c>
      <c r="M55" s="198">
        <f t="shared" si="5"/>
        <v>13188113603.992723</v>
      </c>
      <c r="N55" s="52">
        <f t="shared" si="6"/>
        <v>32623228388.824104</v>
      </c>
      <c r="O55" s="52">
        <f t="shared" si="7"/>
        <v>40008572007.06002</v>
      </c>
      <c r="P55" s="52">
        <f t="shared" si="8"/>
        <v>4164667453.8924375</v>
      </c>
      <c r="Q55" s="199">
        <f t="shared" si="9"/>
        <v>876523676.7958952</v>
      </c>
      <c r="R55" s="49">
        <v>0.99</v>
      </c>
    </row>
    <row r="56" spans="1:18" ht="12.75">
      <c r="A56" s="49">
        <v>2019</v>
      </c>
      <c r="B56" s="305"/>
      <c r="C56" s="50">
        <f t="shared" si="12"/>
        <v>21555725.287144277</v>
      </c>
      <c r="D56" s="51">
        <f>Passenger_Mode_Shares!K28</f>
        <v>0.44633372514809294</v>
      </c>
      <c r="E56" s="52">
        <v>17.44</v>
      </c>
      <c r="F56" s="53">
        <f t="shared" si="11"/>
        <v>56131418454.595535</v>
      </c>
      <c r="G56" s="53">
        <f t="shared" si="2"/>
        <v>3218544636.1580005</v>
      </c>
      <c r="H56" s="183">
        <f t="shared" si="14"/>
        <v>4.124437876119979</v>
      </c>
      <c r="I56" s="54">
        <f t="shared" si="13"/>
        <v>10.202556851454686</v>
      </c>
      <c r="J56" s="54">
        <f t="shared" si="13"/>
        <v>12.512242062081869</v>
      </c>
      <c r="K56" s="51">
        <f t="shared" si="13"/>
        <v>1.302454066143151</v>
      </c>
      <c r="L56" s="184">
        <f t="shared" si="13"/>
        <v>0.2741231657875952</v>
      </c>
      <c r="M56" s="198">
        <f t="shared" si="5"/>
        <v>13274687403.352854</v>
      </c>
      <c r="N56" s="52">
        <f t="shared" si="6"/>
        <v>32837384629.346535</v>
      </c>
      <c r="O56" s="52">
        <f t="shared" si="7"/>
        <v>40271209575.22412</v>
      </c>
      <c r="P56" s="52">
        <f t="shared" si="8"/>
        <v>4192006548.427216</v>
      </c>
      <c r="Q56" s="199">
        <f t="shared" si="9"/>
        <v>882277644.8923149</v>
      </c>
      <c r="R56" s="49">
        <v>0.99</v>
      </c>
    </row>
    <row r="57" spans="1:18" ht="12.75">
      <c r="A57" s="49">
        <v>2020</v>
      </c>
      <c r="B57" s="305"/>
      <c r="C57" s="50">
        <f t="shared" si="12"/>
        <v>21879061.16645144</v>
      </c>
      <c r="D57" s="51">
        <f>Passenger_Mode_Shares!K29</f>
        <v>0.44216327055289345</v>
      </c>
      <c r="E57" s="52">
        <v>17.44</v>
      </c>
      <c r="F57" s="53">
        <f t="shared" si="11"/>
        <v>57052717889.26319</v>
      </c>
      <c r="G57" s="53">
        <f t="shared" si="2"/>
        <v>3271371438.6045403</v>
      </c>
      <c r="H57" s="183">
        <f t="shared" si="14"/>
        <v>4.083193497358779</v>
      </c>
      <c r="I57" s="54">
        <f t="shared" si="13"/>
        <v>10.100531282940139</v>
      </c>
      <c r="J57" s="54">
        <f t="shared" si="13"/>
        <v>12.38711964146105</v>
      </c>
      <c r="K57" s="51">
        <f t="shared" si="13"/>
        <v>1.2894295254817194</v>
      </c>
      <c r="L57" s="184">
        <f t="shared" si="13"/>
        <v>0.2713819341297193</v>
      </c>
      <c r="M57" s="198">
        <f t="shared" si="5"/>
        <v>13357642585.555292</v>
      </c>
      <c r="N57" s="52">
        <f t="shared" si="6"/>
        <v>33042589553.742046</v>
      </c>
      <c r="O57" s="52">
        <f t="shared" si="7"/>
        <v>40522869401.65299</v>
      </c>
      <c r="P57" s="52">
        <f t="shared" si="8"/>
        <v>4218202921.754302</v>
      </c>
      <c r="Q57" s="199">
        <f t="shared" si="9"/>
        <v>887791108.2652224</v>
      </c>
      <c r="R57" s="49">
        <v>0.99</v>
      </c>
    </row>
    <row r="58" spans="1:18" ht="12.75">
      <c r="A58" s="55">
        <v>2005</v>
      </c>
      <c r="B58" s="306" t="s">
        <v>8</v>
      </c>
      <c r="C58" s="56">
        <f>$B$1</f>
        <v>17500000</v>
      </c>
      <c r="D58" s="57">
        <f>Passenger_Mode_Shares!P14</f>
        <v>0.22943529223596948</v>
      </c>
      <c r="E58" s="55">
        <v>1.8</v>
      </c>
      <c r="F58" s="58">
        <f aca="true" t="shared" si="15" ref="F58:F73">B5*D58</f>
        <v>20143896693.028282</v>
      </c>
      <c r="G58" s="58">
        <f aca="true" t="shared" si="16" ref="G58:G89">F58/E58</f>
        <v>11191053718.349045</v>
      </c>
      <c r="H58" s="185">
        <v>3.15</v>
      </c>
      <c r="I58" s="59">
        <v>42.26</v>
      </c>
      <c r="J58" s="59">
        <v>0.96</v>
      </c>
      <c r="K58" s="57">
        <v>0.101</v>
      </c>
      <c r="L58" s="186">
        <v>0.2341</v>
      </c>
      <c r="M58" s="200">
        <f t="shared" si="5"/>
        <v>35251819212.79949</v>
      </c>
      <c r="N58" s="60">
        <f t="shared" si="6"/>
        <v>472933930137.4306</v>
      </c>
      <c r="O58" s="60">
        <f t="shared" si="7"/>
        <v>10743411569.615082</v>
      </c>
      <c r="P58" s="60">
        <f t="shared" si="8"/>
        <v>1130296425.5532537</v>
      </c>
      <c r="Q58" s="201">
        <f t="shared" si="9"/>
        <v>2619825675.4655113</v>
      </c>
      <c r="R58" s="209" t="s">
        <v>53</v>
      </c>
    </row>
    <row r="59" spans="1:18" ht="12.75">
      <c r="A59" s="55">
        <v>2006</v>
      </c>
      <c r="B59" s="306"/>
      <c r="C59" s="56">
        <f aca="true" t="shared" si="17" ref="C59:C73">C58*(1+$B$2)</f>
        <v>17762500</v>
      </c>
      <c r="D59" s="57">
        <f>Passenger_Mode_Shares!P15</f>
        <v>0.236306443056821</v>
      </c>
      <c r="E59" s="55">
        <v>1.8</v>
      </c>
      <c r="F59" s="58">
        <f t="shared" si="15"/>
        <v>21286594473.914932</v>
      </c>
      <c r="G59" s="58">
        <f t="shared" si="16"/>
        <v>11825885818.841629</v>
      </c>
      <c r="H59" s="185">
        <f>H58*$R59</f>
        <v>3.15</v>
      </c>
      <c r="I59" s="59">
        <f aca="true" t="shared" si="18" ref="I59:L73">I58*$R59</f>
        <v>42.26</v>
      </c>
      <c r="J59" s="59">
        <f t="shared" si="18"/>
        <v>0.96</v>
      </c>
      <c r="K59" s="57">
        <f t="shared" si="18"/>
        <v>0.101</v>
      </c>
      <c r="L59" s="186">
        <f t="shared" si="18"/>
        <v>0.2341</v>
      </c>
      <c r="M59" s="200">
        <f t="shared" si="5"/>
        <v>37251540329.35113</v>
      </c>
      <c r="N59" s="60">
        <f t="shared" si="6"/>
        <v>499761934704.2472</v>
      </c>
      <c r="O59" s="60">
        <f t="shared" si="7"/>
        <v>11352850386.087963</v>
      </c>
      <c r="P59" s="60">
        <f t="shared" si="8"/>
        <v>1194414467.7030046</v>
      </c>
      <c r="Q59" s="201">
        <f t="shared" si="9"/>
        <v>2768439870.1908255</v>
      </c>
      <c r="R59" s="55">
        <v>1</v>
      </c>
    </row>
    <row r="60" spans="1:18" ht="12.75">
      <c r="A60" s="55">
        <v>2007</v>
      </c>
      <c r="B60" s="306"/>
      <c r="C60" s="56">
        <f t="shared" si="17"/>
        <v>18028937.5</v>
      </c>
      <c r="D60" s="57">
        <f>Passenger_Mode_Shares!P16</f>
        <v>0.23640332645379952</v>
      </c>
      <c r="E60" s="55">
        <v>1.8</v>
      </c>
      <c r="F60" s="58">
        <f t="shared" si="15"/>
        <v>21849000141.609535</v>
      </c>
      <c r="G60" s="58">
        <f t="shared" si="16"/>
        <v>12138333412.005297</v>
      </c>
      <c r="H60" s="185">
        <f aca="true" t="shared" si="19" ref="H60:H73">H59*$R60</f>
        <v>3.15</v>
      </c>
      <c r="I60" s="59">
        <f t="shared" si="18"/>
        <v>42.26</v>
      </c>
      <c r="J60" s="59">
        <f t="shared" si="18"/>
        <v>0.96</v>
      </c>
      <c r="K60" s="57">
        <f t="shared" si="18"/>
        <v>0.101</v>
      </c>
      <c r="L60" s="186">
        <f t="shared" si="18"/>
        <v>0.2341</v>
      </c>
      <c r="M60" s="200">
        <f t="shared" si="5"/>
        <v>38235750247.81668</v>
      </c>
      <c r="N60" s="60">
        <f t="shared" si="6"/>
        <v>512965969991.3438</v>
      </c>
      <c r="O60" s="60">
        <f t="shared" si="7"/>
        <v>11652800075.525084</v>
      </c>
      <c r="P60" s="60">
        <f t="shared" si="8"/>
        <v>1225971674.612535</v>
      </c>
      <c r="Q60" s="201">
        <f t="shared" si="9"/>
        <v>2841583851.75044</v>
      </c>
      <c r="R60" s="55">
        <v>1</v>
      </c>
    </row>
    <row r="61" spans="1:18" ht="12.75">
      <c r="A61" s="55">
        <v>2008</v>
      </c>
      <c r="B61" s="306"/>
      <c r="C61" s="56">
        <f t="shared" si="17"/>
        <v>18299371.5625</v>
      </c>
      <c r="D61" s="57">
        <f>Passenger_Mode_Shares!P17</f>
        <v>0.2364586956299526</v>
      </c>
      <c r="E61" s="55">
        <v>1.8</v>
      </c>
      <c r="F61" s="58">
        <f t="shared" si="15"/>
        <v>22422324557.566906</v>
      </c>
      <c r="G61" s="58">
        <f t="shared" si="16"/>
        <v>12456846976.426058</v>
      </c>
      <c r="H61" s="185">
        <f t="shared" si="19"/>
        <v>3.15</v>
      </c>
      <c r="I61" s="59">
        <f t="shared" si="18"/>
        <v>42.26</v>
      </c>
      <c r="J61" s="59">
        <f t="shared" si="18"/>
        <v>0.96</v>
      </c>
      <c r="K61" s="57">
        <f t="shared" si="18"/>
        <v>0.101</v>
      </c>
      <c r="L61" s="186">
        <f t="shared" si="18"/>
        <v>0.2341</v>
      </c>
      <c r="M61" s="200">
        <f t="shared" si="5"/>
        <v>39239067975.74208</v>
      </c>
      <c r="N61" s="60">
        <f t="shared" si="6"/>
        <v>526426353223.7652</v>
      </c>
      <c r="O61" s="60">
        <f t="shared" si="7"/>
        <v>11958573097.369015</v>
      </c>
      <c r="P61" s="60">
        <f t="shared" si="8"/>
        <v>1258141544.619032</v>
      </c>
      <c r="Q61" s="201">
        <f t="shared" si="9"/>
        <v>2916147877.18134</v>
      </c>
      <c r="R61" s="55">
        <v>1</v>
      </c>
    </row>
    <row r="62" spans="1:18" ht="12.75">
      <c r="A62" s="55">
        <v>2009</v>
      </c>
      <c r="B62" s="306"/>
      <c r="C62" s="56">
        <f t="shared" si="17"/>
        <v>18573862.135937497</v>
      </c>
      <c r="D62" s="57">
        <f>Passenger_Mode_Shares!P18</f>
        <v>0.23647078844442862</v>
      </c>
      <c r="E62" s="55">
        <v>1.8</v>
      </c>
      <c r="F62" s="58">
        <f t="shared" si="15"/>
        <v>23006481518.181137</v>
      </c>
      <c r="G62" s="58">
        <f t="shared" si="16"/>
        <v>12781378621.211742</v>
      </c>
      <c r="H62" s="185">
        <f t="shared" si="19"/>
        <v>3.15</v>
      </c>
      <c r="I62" s="59">
        <f t="shared" si="18"/>
        <v>42.26</v>
      </c>
      <c r="J62" s="59">
        <f t="shared" si="18"/>
        <v>0.96</v>
      </c>
      <c r="K62" s="57">
        <f t="shared" si="18"/>
        <v>0.101</v>
      </c>
      <c r="L62" s="186">
        <f t="shared" si="18"/>
        <v>0.2341</v>
      </c>
      <c r="M62" s="200">
        <f t="shared" si="5"/>
        <v>40261342656.816986</v>
      </c>
      <c r="N62" s="60">
        <f t="shared" si="6"/>
        <v>540141060532.4082</v>
      </c>
      <c r="O62" s="60">
        <f t="shared" si="7"/>
        <v>12270123476.363272</v>
      </c>
      <c r="P62" s="60">
        <f t="shared" si="8"/>
        <v>1290919240.742386</v>
      </c>
      <c r="Q62" s="201">
        <f t="shared" si="9"/>
        <v>2992120735.225669</v>
      </c>
      <c r="R62" s="55">
        <v>1</v>
      </c>
    </row>
    <row r="63" spans="1:18" ht="12.75">
      <c r="A63" s="55">
        <v>2010</v>
      </c>
      <c r="B63" s="306"/>
      <c r="C63" s="56">
        <f t="shared" si="17"/>
        <v>18852470.067976557</v>
      </c>
      <c r="D63" s="57">
        <f>Passenger_Mode_Shares!P19</f>
        <v>0.2364378126732651</v>
      </c>
      <c r="E63" s="55">
        <v>1.8</v>
      </c>
      <c r="F63" s="58">
        <f t="shared" si="15"/>
        <v>23601358377.220196</v>
      </c>
      <c r="G63" s="58">
        <f t="shared" si="16"/>
        <v>13111865765.12233</v>
      </c>
      <c r="H63" s="185">
        <f t="shared" si="19"/>
        <v>3.15</v>
      </c>
      <c r="I63" s="59">
        <f t="shared" si="18"/>
        <v>42.26</v>
      </c>
      <c r="J63" s="59">
        <f t="shared" si="18"/>
        <v>0.96</v>
      </c>
      <c r="K63" s="57">
        <f t="shared" si="18"/>
        <v>0.101</v>
      </c>
      <c r="L63" s="186">
        <f t="shared" si="18"/>
        <v>0.2341</v>
      </c>
      <c r="M63" s="200">
        <f t="shared" si="5"/>
        <v>41302377160.13534</v>
      </c>
      <c r="N63" s="60">
        <f t="shared" si="6"/>
        <v>554107447234.0696</v>
      </c>
      <c r="O63" s="60">
        <f t="shared" si="7"/>
        <v>12587391134.517437</v>
      </c>
      <c r="P63" s="60">
        <f t="shared" si="8"/>
        <v>1324298442.2773554</v>
      </c>
      <c r="Q63" s="201">
        <f t="shared" si="9"/>
        <v>3069487775.6151376</v>
      </c>
      <c r="R63" s="55">
        <v>1</v>
      </c>
    </row>
    <row r="64" spans="1:18" ht="12.75">
      <c r="A64" s="55">
        <v>2011</v>
      </c>
      <c r="B64" s="306"/>
      <c r="C64" s="56">
        <f t="shared" si="17"/>
        <v>19135257.118996203</v>
      </c>
      <c r="D64" s="57">
        <f>Passenger_Mode_Shares!P20</f>
        <v>0.24356563325774658</v>
      </c>
      <c r="E64" s="55">
        <v>1.8</v>
      </c>
      <c r="F64" s="58">
        <f t="shared" si="15"/>
        <v>24944995925.047817</v>
      </c>
      <c r="G64" s="58">
        <f t="shared" si="16"/>
        <v>13858331069.471008</v>
      </c>
      <c r="H64" s="185">
        <f t="shared" si="19"/>
        <v>3.1185</v>
      </c>
      <c r="I64" s="59">
        <f t="shared" si="18"/>
        <v>41.837399999999995</v>
      </c>
      <c r="J64" s="59">
        <f t="shared" si="18"/>
        <v>0.9503999999999999</v>
      </c>
      <c r="K64" s="57">
        <f t="shared" si="18"/>
        <v>0.09999000000000001</v>
      </c>
      <c r="L64" s="186">
        <f t="shared" si="18"/>
        <v>0.231759</v>
      </c>
      <c r="M64" s="200">
        <f t="shared" si="5"/>
        <v>43217205440.14534</v>
      </c>
      <c r="N64" s="60">
        <f t="shared" si="6"/>
        <v>579796540285.8864</v>
      </c>
      <c r="O64" s="60">
        <f t="shared" si="7"/>
        <v>13170957848.425245</v>
      </c>
      <c r="P64" s="60">
        <f t="shared" si="8"/>
        <v>1385694523.6364062</v>
      </c>
      <c r="Q64" s="201">
        <f t="shared" si="9"/>
        <v>3211792950.329531</v>
      </c>
      <c r="R64" s="55">
        <v>0.99</v>
      </c>
    </row>
    <row r="65" spans="1:18" ht="12.75">
      <c r="A65" s="55">
        <v>2012</v>
      </c>
      <c r="B65" s="306"/>
      <c r="C65" s="56">
        <f t="shared" si="17"/>
        <v>19422285.975781143</v>
      </c>
      <c r="D65" s="57">
        <f>Passenger_Mode_Shares!P21</f>
        <v>0.24360946569173608</v>
      </c>
      <c r="E65" s="55">
        <v>1.8</v>
      </c>
      <c r="F65" s="58">
        <f t="shared" si="15"/>
        <v>25598171675.308395</v>
      </c>
      <c r="G65" s="58">
        <f t="shared" si="16"/>
        <v>14221206486.282442</v>
      </c>
      <c r="H65" s="185">
        <f t="shared" si="19"/>
        <v>3.087315</v>
      </c>
      <c r="I65" s="59">
        <f t="shared" si="18"/>
        <v>41.419025999999995</v>
      </c>
      <c r="J65" s="59">
        <f t="shared" si="18"/>
        <v>0.940896</v>
      </c>
      <c r="K65" s="57">
        <f t="shared" si="18"/>
        <v>0.09899010000000001</v>
      </c>
      <c r="L65" s="186">
        <f t="shared" si="18"/>
        <v>0.22944140999999998</v>
      </c>
      <c r="M65" s="200">
        <f t="shared" si="5"/>
        <v>43905344103.197075</v>
      </c>
      <c r="N65" s="60">
        <f t="shared" si="6"/>
        <v>589028521206.701</v>
      </c>
      <c r="O65" s="60">
        <f t="shared" si="7"/>
        <v>13380676298.117205</v>
      </c>
      <c r="P65" s="60">
        <f t="shared" si="8"/>
        <v>1407758652.1977477</v>
      </c>
      <c r="Q65" s="201">
        <f t="shared" si="9"/>
        <v>3262933668.113789</v>
      </c>
      <c r="R65" s="55">
        <v>0.99</v>
      </c>
    </row>
    <row r="66" spans="1:18" ht="12.75">
      <c r="A66" s="55">
        <v>2013</v>
      </c>
      <c r="B66" s="306"/>
      <c r="C66" s="56">
        <f t="shared" si="17"/>
        <v>19713620.26541786</v>
      </c>
      <c r="D66" s="57">
        <f>Passenger_Mode_Shares!P22</f>
        <v>0.24360554393758307</v>
      </c>
      <c r="E66" s="55">
        <v>1.8</v>
      </c>
      <c r="F66" s="58">
        <f t="shared" si="15"/>
        <v>26263301331.530407</v>
      </c>
      <c r="G66" s="58">
        <f t="shared" si="16"/>
        <v>14590722961.961336</v>
      </c>
      <c r="H66" s="185">
        <f t="shared" si="19"/>
        <v>3.0564418499999997</v>
      </c>
      <c r="I66" s="59">
        <f t="shared" si="18"/>
        <v>41.00483574</v>
      </c>
      <c r="J66" s="59">
        <f t="shared" si="18"/>
        <v>0.9314870399999999</v>
      </c>
      <c r="K66" s="57">
        <f t="shared" si="18"/>
        <v>0.09800019900000001</v>
      </c>
      <c r="L66" s="186">
        <f t="shared" si="18"/>
        <v>0.22714699589999998</v>
      </c>
      <c r="M66" s="200">
        <f t="shared" si="5"/>
        <v>44595696282.69458</v>
      </c>
      <c r="N66" s="60">
        <f t="shared" si="6"/>
        <v>598290198383.0708</v>
      </c>
      <c r="O66" s="60">
        <f t="shared" si="7"/>
        <v>13591069343.297396</v>
      </c>
      <c r="P66" s="60">
        <f t="shared" si="8"/>
        <v>1429893753.8260806</v>
      </c>
      <c r="Q66" s="201">
        <f t="shared" si="9"/>
        <v>3314238888.8186674</v>
      </c>
      <c r="R66" s="55">
        <v>0.99</v>
      </c>
    </row>
    <row r="67" spans="1:18" ht="12.75">
      <c r="A67" s="55">
        <v>2014</v>
      </c>
      <c r="B67" s="306"/>
      <c r="C67" s="56">
        <f t="shared" si="17"/>
        <v>20009324.569399126</v>
      </c>
      <c r="D67" s="57">
        <f>Passenger_Mode_Shares!P23</f>
        <v>0.24355188260760446</v>
      </c>
      <c r="E67" s="55">
        <v>1.8</v>
      </c>
      <c r="F67" s="58">
        <f t="shared" si="15"/>
        <v>26940211479.829754</v>
      </c>
      <c r="G67" s="58">
        <f t="shared" si="16"/>
        <v>14966784155.460974</v>
      </c>
      <c r="H67" s="185">
        <f t="shared" si="19"/>
        <v>3.0258774314999997</v>
      </c>
      <c r="I67" s="59">
        <f t="shared" si="18"/>
        <v>40.594787382599996</v>
      </c>
      <c r="J67" s="59">
        <f t="shared" si="18"/>
        <v>0.9221721695999999</v>
      </c>
      <c r="K67" s="57">
        <f t="shared" si="18"/>
        <v>0.09702019701</v>
      </c>
      <c r="L67" s="186">
        <f t="shared" si="18"/>
        <v>0.224875525941</v>
      </c>
      <c r="M67" s="200">
        <f t="shared" si="5"/>
        <v>45287654398.14114</v>
      </c>
      <c r="N67" s="60">
        <f t="shared" si="6"/>
        <v>607573420592.2047</v>
      </c>
      <c r="O67" s="60">
        <f t="shared" si="7"/>
        <v>13801951816.57635</v>
      </c>
      <c r="P67" s="60">
        <f t="shared" si="8"/>
        <v>1452080347.3689702</v>
      </c>
      <c r="Q67" s="201">
        <f t="shared" si="9"/>
        <v>3365663458.604712</v>
      </c>
      <c r="R67" s="55">
        <v>0.99</v>
      </c>
    </row>
    <row r="68" spans="1:18" ht="12.75">
      <c r="A68" s="55">
        <v>2015</v>
      </c>
      <c r="B68" s="306"/>
      <c r="C68" s="56">
        <f t="shared" si="17"/>
        <v>20309464.43794011</v>
      </c>
      <c r="D68" s="57">
        <f>Passenger_Mode_Shares!P24</f>
        <v>0.24344646770071562</v>
      </c>
      <c r="E68" s="55">
        <v>1.8</v>
      </c>
      <c r="F68" s="58">
        <f t="shared" si="15"/>
        <v>27628693460.509785</v>
      </c>
      <c r="G68" s="58">
        <f t="shared" si="16"/>
        <v>15349274144.727657</v>
      </c>
      <c r="H68" s="185">
        <f t="shared" si="19"/>
        <v>2.9956186571849996</v>
      </c>
      <c r="I68" s="59">
        <f t="shared" si="18"/>
        <v>40.188839508773995</v>
      </c>
      <c r="J68" s="59">
        <f t="shared" si="18"/>
        <v>0.9129504479039999</v>
      </c>
      <c r="K68" s="57">
        <f t="shared" si="18"/>
        <v>0.0960499950399</v>
      </c>
      <c r="L68" s="186">
        <f t="shared" si="18"/>
        <v>0.22262677068158998</v>
      </c>
      <c r="M68" s="200">
        <f t="shared" si="5"/>
        <v>45980572002.1935</v>
      </c>
      <c r="N68" s="60">
        <f t="shared" si="6"/>
        <v>616869515178.634</v>
      </c>
      <c r="O68" s="60">
        <f t="shared" si="7"/>
        <v>14013126705.4304</v>
      </c>
      <c r="P68" s="60">
        <f t="shared" si="8"/>
        <v>1474297705.467157</v>
      </c>
      <c r="Q68" s="201">
        <f t="shared" si="9"/>
        <v>3417159335.1471424</v>
      </c>
      <c r="R68" s="55">
        <v>0.99</v>
      </c>
    </row>
    <row r="69" spans="1:18" ht="12.75">
      <c r="A69" s="55">
        <v>2016</v>
      </c>
      <c r="B69" s="306"/>
      <c r="C69" s="56">
        <f t="shared" si="17"/>
        <v>20614106.40450921</v>
      </c>
      <c r="D69" s="57">
        <f>Passenger_Mode_Shares!P25</f>
        <v>0.2526435877917043</v>
      </c>
      <c r="E69" s="55">
        <v>1.8</v>
      </c>
      <c r="F69" s="58">
        <f t="shared" si="15"/>
        <v>29417957170.5805</v>
      </c>
      <c r="G69" s="58">
        <f t="shared" si="16"/>
        <v>16343309539.21139</v>
      </c>
      <c r="H69" s="185">
        <f t="shared" si="19"/>
        <v>2.9357062840412995</v>
      </c>
      <c r="I69" s="59">
        <f t="shared" si="18"/>
        <v>39.38506271859851</v>
      </c>
      <c r="J69" s="59">
        <f t="shared" si="18"/>
        <v>0.89469143894592</v>
      </c>
      <c r="K69" s="57">
        <f t="shared" si="18"/>
        <v>0.094128995139102</v>
      </c>
      <c r="L69" s="186">
        <f t="shared" si="18"/>
        <v>0.21817423526795818</v>
      </c>
      <c r="M69" s="200">
        <f t="shared" si="5"/>
        <v>47979156516.29499</v>
      </c>
      <c r="N69" s="60">
        <f t="shared" si="6"/>
        <v>643682271231.3099</v>
      </c>
      <c r="O69" s="60">
        <f t="shared" si="7"/>
        <v>14622219128.775618</v>
      </c>
      <c r="P69" s="60">
        <f t="shared" si="8"/>
        <v>1538379304.1732683</v>
      </c>
      <c r="Q69" s="201">
        <f t="shared" si="9"/>
        <v>3565689060.464971</v>
      </c>
      <c r="R69" s="55">
        <v>0.98</v>
      </c>
    </row>
    <row r="70" spans="1:18" ht="12.75">
      <c r="A70" s="55">
        <v>2017</v>
      </c>
      <c r="B70" s="306"/>
      <c r="C70" s="56">
        <f t="shared" si="17"/>
        <v>20923318.000576846</v>
      </c>
      <c r="D70" s="57">
        <f>Passenger_Mode_Shares!P26</f>
        <v>0.2526643269545676</v>
      </c>
      <c r="E70" s="55">
        <v>1.8</v>
      </c>
      <c r="F70" s="58">
        <f t="shared" si="15"/>
        <v>30185301723.317215</v>
      </c>
      <c r="G70" s="58">
        <f t="shared" si="16"/>
        <v>16769612068.509563</v>
      </c>
      <c r="H70" s="185">
        <f t="shared" si="19"/>
        <v>2.8769921583604736</v>
      </c>
      <c r="I70" s="59">
        <f t="shared" si="18"/>
        <v>38.59736146422654</v>
      </c>
      <c r="J70" s="59">
        <f t="shared" si="18"/>
        <v>0.8767976101670015</v>
      </c>
      <c r="K70" s="57">
        <f t="shared" si="18"/>
        <v>0.09224641523631996</v>
      </c>
      <c r="L70" s="186">
        <f t="shared" si="18"/>
        <v>0.21381075056259902</v>
      </c>
      <c r="M70" s="200">
        <f t="shared" si="5"/>
        <v>48246042419.849174</v>
      </c>
      <c r="N70" s="60">
        <f t="shared" si="6"/>
        <v>647262778623.1193</v>
      </c>
      <c r="O70" s="60">
        <f t="shared" si="7"/>
        <v>14703555785.096891</v>
      </c>
      <c r="P70" s="60">
        <f t="shared" si="8"/>
        <v>1546936598.2237358</v>
      </c>
      <c r="Q70" s="201">
        <f t="shared" si="9"/>
        <v>3585523343.011648</v>
      </c>
      <c r="R70" s="55">
        <v>0.98</v>
      </c>
    </row>
    <row r="71" spans="1:18" ht="12.75">
      <c r="A71" s="55">
        <v>2018</v>
      </c>
      <c r="B71" s="306"/>
      <c r="C71" s="56">
        <f t="shared" si="17"/>
        <v>21237167.770585496</v>
      </c>
      <c r="D71" s="57">
        <f>Passenger_Mode_Shares!P27</f>
        <v>0.25528432082904456</v>
      </c>
      <c r="E71" s="55">
        <v>1.8</v>
      </c>
      <c r="F71" s="58">
        <f t="shared" si="15"/>
        <v>31291263136.5026</v>
      </c>
      <c r="G71" s="58">
        <f t="shared" si="16"/>
        <v>17384035075.834778</v>
      </c>
      <c r="H71" s="185">
        <f t="shared" si="19"/>
        <v>2.819452315193264</v>
      </c>
      <c r="I71" s="59">
        <f t="shared" si="18"/>
        <v>37.82541423494201</v>
      </c>
      <c r="J71" s="59">
        <f t="shared" si="18"/>
        <v>0.8592616579636615</v>
      </c>
      <c r="K71" s="57">
        <f t="shared" si="18"/>
        <v>0.09040148693159356</v>
      </c>
      <c r="L71" s="186">
        <f t="shared" si="18"/>
        <v>0.20953453555134705</v>
      </c>
      <c r="M71" s="200">
        <f t="shared" si="5"/>
        <v>49013457941.96327</v>
      </c>
      <c r="N71" s="60">
        <f t="shared" si="6"/>
        <v>657558327818.212</v>
      </c>
      <c r="O71" s="60">
        <f t="shared" si="7"/>
        <v>14937434801.360237</v>
      </c>
      <c r="P71" s="60">
        <f t="shared" si="8"/>
        <v>1571542619.7264416</v>
      </c>
      <c r="Q71" s="201">
        <f t="shared" si="9"/>
        <v>3642555715.6233664</v>
      </c>
      <c r="R71" s="55">
        <v>0.98</v>
      </c>
    </row>
    <row r="72" spans="1:18" ht="12.75">
      <c r="A72" s="55">
        <v>2019</v>
      </c>
      <c r="B72" s="306"/>
      <c r="C72" s="56">
        <f t="shared" si="17"/>
        <v>21555725.287144277</v>
      </c>
      <c r="D72" s="57">
        <f>Passenger_Mode_Shares!P28</f>
        <v>0.25526646054638846</v>
      </c>
      <c r="E72" s="55">
        <v>1.8</v>
      </c>
      <c r="F72" s="58">
        <f t="shared" si="15"/>
        <v>32102589849.33004</v>
      </c>
      <c r="G72" s="58">
        <f t="shared" si="16"/>
        <v>17834772138.51669</v>
      </c>
      <c r="H72" s="185">
        <f t="shared" si="19"/>
        <v>2.7630632688893986</v>
      </c>
      <c r="I72" s="59">
        <f t="shared" si="18"/>
        <v>37.06890595024317</v>
      </c>
      <c r="J72" s="59">
        <f t="shared" si="18"/>
        <v>0.8420764248043883</v>
      </c>
      <c r="K72" s="57">
        <f t="shared" si="18"/>
        <v>0.08859345719296169</v>
      </c>
      <c r="L72" s="186">
        <f t="shared" si="18"/>
        <v>0.2053438448403201</v>
      </c>
      <c r="M72" s="200">
        <f t="shared" si="5"/>
        <v>49278603804.947495</v>
      </c>
      <c r="N72" s="60">
        <f t="shared" si="6"/>
        <v>661115491046.6924</v>
      </c>
      <c r="O72" s="60">
        <f t="shared" si="7"/>
        <v>15018241159.603048</v>
      </c>
      <c r="P72" s="60">
        <f t="shared" si="8"/>
        <v>1580044121.9999042</v>
      </c>
      <c r="Q72" s="201">
        <f t="shared" si="9"/>
        <v>3662260682.774035</v>
      </c>
      <c r="R72" s="55">
        <v>0.98</v>
      </c>
    </row>
    <row r="73" spans="1:18" ht="12.75">
      <c r="A73" s="55">
        <v>2020</v>
      </c>
      <c r="B73" s="306"/>
      <c r="C73" s="56">
        <f t="shared" si="17"/>
        <v>21879061.16645144</v>
      </c>
      <c r="D73" s="57">
        <f>Passenger_Mode_Shares!P29</f>
        <v>0.25519159663204516</v>
      </c>
      <c r="E73" s="55">
        <v>1.8</v>
      </c>
      <c r="F73" s="58">
        <f t="shared" si="15"/>
        <v>32927597428.32838</v>
      </c>
      <c r="G73" s="58">
        <f t="shared" si="16"/>
        <v>18293109682.404655</v>
      </c>
      <c r="H73" s="185">
        <f t="shared" si="19"/>
        <v>2.7078020035116106</v>
      </c>
      <c r="I73" s="59">
        <f t="shared" si="18"/>
        <v>36.32752783123831</v>
      </c>
      <c r="J73" s="59">
        <f t="shared" si="18"/>
        <v>0.8252348963083005</v>
      </c>
      <c r="K73" s="57">
        <f t="shared" si="18"/>
        <v>0.08682158804910245</v>
      </c>
      <c r="L73" s="186">
        <f t="shared" si="18"/>
        <v>0.20123696794351367</v>
      </c>
      <c r="M73" s="200">
        <f t="shared" si="5"/>
        <v>49534119048.47297</v>
      </c>
      <c r="N73" s="60">
        <f t="shared" si="6"/>
        <v>664543451107.4501</v>
      </c>
      <c r="O73" s="60">
        <f t="shared" si="7"/>
        <v>15096112471.915573</v>
      </c>
      <c r="P73" s="60">
        <f t="shared" si="8"/>
        <v>1588236832.9827843</v>
      </c>
      <c r="Q73" s="201">
        <f t="shared" si="9"/>
        <v>3681249926.7452455</v>
      </c>
      <c r="R73" s="55">
        <v>0.98</v>
      </c>
    </row>
    <row r="74" spans="1:18" ht="12.75">
      <c r="A74" s="49">
        <v>2005</v>
      </c>
      <c r="B74" s="305" t="s">
        <v>9</v>
      </c>
      <c r="C74" s="50">
        <f>$B$1</f>
        <v>17500000</v>
      </c>
      <c r="D74" s="51">
        <f>Passenger_Mode_Shares!U14</f>
        <v>0.08922988692704334</v>
      </c>
      <c r="E74" s="52">
        <v>9.4</v>
      </c>
      <c r="F74" s="53">
        <f aca="true" t="shared" si="20" ref="F74:F89">B5*D74</f>
        <v>7834181074.201646</v>
      </c>
      <c r="G74" s="53">
        <f t="shared" si="16"/>
        <v>833423518.53209</v>
      </c>
      <c r="H74" s="183">
        <v>7.57</v>
      </c>
      <c r="I74" s="54">
        <v>82.63</v>
      </c>
      <c r="J74" s="54">
        <v>2.61</v>
      </c>
      <c r="K74" s="51">
        <v>0.029</v>
      </c>
      <c r="L74" s="184">
        <v>0.11497</v>
      </c>
      <c r="M74" s="198">
        <f t="shared" si="5"/>
        <v>6309016035.287921</v>
      </c>
      <c r="N74" s="52">
        <f t="shared" si="6"/>
        <v>68865785336.3066</v>
      </c>
      <c r="O74" s="52">
        <f t="shared" si="7"/>
        <v>2175235383.368755</v>
      </c>
      <c r="P74" s="52">
        <f t="shared" si="8"/>
        <v>24169282.03743061</v>
      </c>
      <c r="Q74" s="199">
        <f t="shared" si="9"/>
        <v>95818701.92563438</v>
      </c>
      <c r="R74" s="208" t="s">
        <v>53</v>
      </c>
    </row>
    <row r="75" spans="1:18" ht="12.75">
      <c r="A75" s="49">
        <v>2006</v>
      </c>
      <c r="B75" s="305"/>
      <c r="C75" s="50">
        <f aca="true" t="shared" si="21" ref="C75:C89">C74*(1+$B$2)</f>
        <v>17762500</v>
      </c>
      <c r="D75" s="51">
        <f>Passenger_Mode_Shares!U15</f>
        <v>0.08110084661764172</v>
      </c>
      <c r="E75" s="52">
        <v>9.4</v>
      </c>
      <c r="F75" s="53">
        <f t="shared" si="20"/>
        <v>7305602044.146563</v>
      </c>
      <c r="G75" s="53">
        <f t="shared" si="16"/>
        <v>777191706.8241024</v>
      </c>
      <c r="H75" s="183">
        <f>H74*$R75</f>
        <v>7.4186000000000005</v>
      </c>
      <c r="I75" s="54">
        <f aca="true" t="shared" si="22" ref="I75:L89">I74*$R75</f>
        <v>80.97739999999999</v>
      </c>
      <c r="J75" s="54">
        <f t="shared" si="22"/>
        <v>2.5578</v>
      </c>
      <c r="K75" s="51">
        <f t="shared" si="22"/>
        <v>0.02842</v>
      </c>
      <c r="L75" s="184">
        <f t="shared" si="22"/>
        <v>0.1126706</v>
      </c>
      <c r="M75" s="198">
        <f t="shared" si="5"/>
        <v>5765674396.245287</v>
      </c>
      <c r="N75" s="52">
        <f t="shared" si="6"/>
        <v>62934963720.17806</v>
      </c>
      <c r="O75" s="52">
        <f t="shared" si="7"/>
        <v>1987900947.714689</v>
      </c>
      <c r="P75" s="52">
        <f t="shared" si="8"/>
        <v>22087788.30794099</v>
      </c>
      <c r="Q75" s="199">
        <f t="shared" si="9"/>
        <v>87566655.92289571</v>
      </c>
      <c r="R75" s="49">
        <v>0.98</v>
      </c>
    </row>
    <row r="76" spans="1:18" ht="12.75">
      <c r="A76" s="49">
        <v>2007</v>
      </c>
      <c r="B76" s="305"/>
      <c r="C76" s="50">
        <f t="shared" si="21"/>
        <v>18028937.5</v>
      </c>
      <c r="D76" s="51">
        <f>Passenger_Mode_Shares!U16</f>
        <v>0.08310122526577342</v>
      </c>
      <c r="E76" s="52">
        <v>9.4</v>
      </c>
      <c r="F76" s="53">
        <f t="shared" si="20"/>
        <v>7680427808.847473</v>
      </c>
      <c r="G76" s="53">
        <f t="shared" si="16"/>
        <v>817066788.175263</v>
      </c>
      <c r="H76" s="183">
        <f aca="true" t="shared" si="23" ref="H76:H89">H75*$R76</f>
        <v>7.270228</v>
      </c>
      <c r="I76" s="54">
        <f t="shared" si="22"/>
        <v>79.357852</v>
      </c>
      <c r="J76" s="54">
        <f t="shared" si="22"/>
        <v>2.5066439999999997</v>
      </c>
      <c r="K76" s="51">
        <f t="shared" si="22"/>
        <v>0.0278516</v>
      </c>
      <c r="L76" s="184">
        <f t="shared" si="22"/>
        <v>0.110417188</v>
      </c>
      <c r="M76" s="198">
        <f t="shared" si="5"/>
        <v>5940261841.261867</v>
      </c>
      <c r="N76" s="52">
        <f t="shared" si="6"/>
        <v>64840665250.12787</v>
      </c>
      <c r="O76" s="52">
        <f t="shared" si="7"/>
        <v>2048095562.1787937</v>
      </c>
      <c r="P76" s="52">
        <f t="shared" si="8"/>
        <v>22756617.357542157</v>
      </c>
      <c r="Q76" s="199">
        <f t="shared" si="9"/>
        <v>90218217.1585042</v>
      </c>
      <c r="R76" s="49">
        <v>0.98</v>
      </c>
    </row>
    <row r="77" spans="1:18" ht="12.75">
      <c r="A77" s="49">
        <v>2008</v>
      </c>
      <c r="B77" s="305"/>
      <c r="C77" s="50">
        <f t="shared" si="21"/>
        <v>18299371.5625</v>
      </c>
      <c r="D77" s="51">
        <f>Passenger_Mode_Shares!U17</f>
        <v>0.08515638031278466</v>
      </c>
      <c r="E77" s="52">
        <v>9.4</v>
      </c>
      <c r="F77" s="53">
        <f t="shared" si="20"/>
        <v>8075000128.178798</v>
      </c>
      <c r="G77" s="53">
        <f t="shared" si="16"/>
        <v>859042566.8275317</v>
      </c>
      <c r="H77" s="183">
        <f t="shared" si="23"/>
        <v>7.12482344</v>
      </c>
      <c r="I77" s="54">
        <f t="shared" si="22"/>
        <v>77.77069495999999</v>
      </c>
      <c r="J77" s="54">
        <f t="shared" si="22"/>
        <v>2.4565111199999996</v>
      </c>
      <c r="K77" s="51">
        <f t="shared" si="22"/>
        <v>0.027294568</v>
      </c>
      <c r="L77" s="184">
        <f t="shared" si="22"/>
        <v>0.10820884423999999</v>
      </c>
      <c r="M77" s="198">
        <f t="shared" si="5"/>
        <v>6120526616.090565</v>
      </c>
      <c r="N77" s="52">
        <f t="shared" si="6"/>
        <v>66808337422.39937</v>
      </c>
      <c r="O77" s="52">
        <f t="shared" si="7"/>
        <v>2110247617.9651744</v>
      </c>
      <c r="P77" s="52">
        <f t="shared" si="8"/>
        <v>23447195.75516861</v>
      </c>
      <c r="Q77" s="199">
        <f t="shared" si="9"/>
        <v>92956003.30937016</v>
      </c>
      <c r="R77" s="49">
        <v>0.98</v>
      </c>
    </row>
    <row r="78" spans="1:18" ht="12.75">
      <c r="A78" s="49">
        <v>2009</v>
      </c>
      <c r="B78" s="305"/>
      <c r="C78" s="50">
        <f t="shared" si="21"/>
        <v>18573862.135937497</v>
      </c>
      <c r="D78" s="51">
        <f>Passenger_Mode_Shares!U18</f>
        <v>0.08726750161223526</v>
      </c>
      <c r="E78" s="52">
        <v>9.4</v>
      </c>
      <c r="F78" s="53">
        <f t="shared" si="20"/>
        <v>8490343252.065373</v>
      </c>
      <c r="G78" s="53">
        <f t="shared" si="16"/>
        <v>903228005.5388695</v>
      </c>
      <c r="H78" s="183">
        <f t="shared" si="23"/>
        <v>6.9823269712</v>
      </c>
      <c r="I78" s="54">
        <f t="shared" si="22"/>
        <v>76.21528106079998</v>
      </c>
      <c r="J78" s="54">
        <f t="shared" si="22"/>
        <v>2.4073808975999995</v>
      </c>
      <c r="K78" s="51">
        <f t="shared" si="22"/>
        <v>0.02674867664</v>
      </c>
      <c r="L78" s="184">
        <f t="shared" si="22"/>
        <v>0.10604466735519999</v>
      </c>
      <c r="M78" s="198">
        <f t="shared" si="5"/>
        <v>6306633264.217232</v>
      </c>
      <c r="N78" s="52">
        <f t="shared" si="6"/>
        <v>68839776304.13074</v>
      </c>
      <c r="O78" s="52">
        <f t="shared" si="7"/>
        <v>2174413846.711621</v>
      </c>
      <c r="P78" s="52">
        <f t="shared" si="8"/>
        <v>24160153.85235135</v>
      </c>
      <c r="Q78" s="199">
        <f t="shared" si="9"/>
        <v>95782513.39327015</v>
      </c>
      <c r="R78" s="49">
        <v>0.98</v>
      </c>
    </row>
    <row r="79" spans="1:18" ht="12.75">
      <c r="A79" s="49">
        <v>2010</v>
      </c>
      <c r="B79" s="305"/>
      <c r="C79" s="50">
        <f t="shared" si="21"/>
        <v>18852470.067976557</v>
      </c>
      <c r="D79" s="51">
        <f>Passenger_Mode_Shares!U19</f>
        <v>0.08943576942730647</v>
      </c>
      <c r="E79" s="52">
        <v>9.4</v>
      </c>
      <c r="F79" s="53">
        <f t="shared" si="20"/>
        <v>8927529916.347301</v>
      </c>
      <c r="G79" s="53">
        <f t="shared" si="16"/>
        <v>949737225.1433299</v>
      </c>
      <c r="H79" s="183">
        <f t="shared" si="23"/>
        <v>6.8426804317759995</v>
      </c>
      <c r="I79" s="54">
        <f t="shared" si="22"/>
        <v>74.69097543958398</v>
      </c>
      <c r="J79" s="54">
        <f t="shared" si="22"/>
        <v>2.3592332796479996</v>
      </c>
      <c r="K79" s="51">
        <f t="shared" si="22"/>
        <v>0.0262137031072</v>
      </c>
      <c r="L79" s="184">
        <f t="shared" si="22"/>
        <v>0.10392377400809599</v>
      </c>
      <c r="M79" s="198">
        <f t="shared" si="5"/>
        <v>6498748325.8175</v>
      </c>
      <c r="N79" s="52">
        <f t="shared" si="6"/>
        <v>70936799757.23909</v>
      </c>
      <c r="O79" s="52">
        <f t="shared" si="7"/>
        <v>2240651668.4786887</v>
      </c>
      <c r="P79" s="52">
        <f t="shared" si="8"/>
        <v>24896129.64976321</v>
      </c>
      <c r="Q79" s="199">
        <f t="shared" si="9"/>
        <v>98700276.7528716</v>
      </c>
      <c r="R79" s="49">
        <v>0.98</v>
      </c>
    </row>
    <row r="80" spans="1:18" ht="12.75">
      <c r="A80" s="49">
        <v>2011</v>
      </c>
      <c r="B80" s="305"/>
      <c r="C80" s="50">
        <f t="shared" si="21"/>
        <v>19135257.118996203</v>
      </c>
      <c r="D80" s="51">
        <f>Passenger_Mode_Shares!U20</f>
        <v>0.08140207669546014</v>
      </c>
      <c r="E80" s="52">
        <v>9.4</v>
      </c>
      <c r="F80" s="53">
        <f t="shared" si="20"/>
        <v>8336867744.021521</v>
      </c>
      <c r="G80" s="53">
        <f t="shared" si="16"/>
        <v>886900823.8320767</v>
      </c>
      <c r="H80" s="183">
        <f t="shared" si="23"/>
        <v>6.637400018822719</v>
      </c>
      <c r="I80" s="54">
        <f t="shared" si="22"/>
        <v>72.45024617639646</v>
      </c>
      <c r="J80" s="54">
        <f t="shared" si="22"/>
        <v>2.2884562812585596</v>
      </c>
      <c r="K80" s="51">
        <f t="shared" si="22"/>
        <v>0.025427292013984</v>
      </c>
      <c r="L80" s="184">
        <f t="shared" si="22"/>
        <v>0.1008060607878531</v>
      </c>
      <c r="M80" s="198">
        <f t="shared" si="5"/>
        <v>5886715544.79691</v>
      </c>
      <c r="N80" s="52">
        <f t="shared" si="6"/>
        <v>64256183020.682785</v>
      </c>
      <c r="O80" s="52">
        <f t="shared" si="7"/>
        <v>2029633761.151907</v>
      </c>
      <c r="P80" s="52">
        <f t="shared" si="8"/>
        <v>22551486.235021193</v>
      </c>
      <c r="Q80" s="199">
        <f t="shared" si="9"/>
        <v>89404978.36001332</v>
      </c>
      <c r="R80" s="49">
        <v>0.97</v>
      </c>
    </row>
    <row r="81" spans="1:18" ht="12.75">
      <c r="A81" s="49">
        <v>2012</v>
      </c>
      <c r="B81" s="305"/>
      <c r="C81" s="50">
        <f t="shared" si="21"/>
        <v>19422285.975781143</v>
      </c>
      <c r="D81" s="51">
        <f>Passenger_Mode_Shares!U21</f>
        <v>0.08349267250592511</v>
      </c>
      <c r="E81" s="52">
        <v>9.4</v>
      </c>
      <c r="F81" s="53">
        <f t="shared" si="20"/>
        <v>8773303444.38038</v>
      </c>
      <c r="G81" s="53">
        <f t="shared" si="16"/>
        <v>933330153.6574873</v>
      </c>
      <c r="H81" s="183">
        <f t="shared" si="23"/>
        <v>6.438278018258037</v>
      </c>
      <c r="I81" s="54">
        <f t="shared" si="22"/>
        <v>70.27673879110456</v>
      </c>
      <c r="J81" s="54">
        <f t="shared" si="22"/>
        <v>2.2198025928208027</v>
      </c>
      <c r="K81" s="51">
        <f t="shared" si="22"/>
        <v>0.024664473253564478</v>
      </c>
      <c r="L81" s="184">
        <f t="shared" si="22"/>
        <v>0.09778187896421751</v>
      </c>
      <c r="M81" s="198">
        <f t="shared" si="5"/>
        <v>6009039012.070396</v>
      </c>
      <c r="N81" s="52">
        <f t="shared" si="6"/>
        <v>65591399414.448715</v>
      </c>
      <c r="O81" s="52">
        <f t="shared" si="7"/>
        <v>2071808695.0467284</v>
      </c>
      <c r="P81" s="52">
        <f t="shared" si="8"/>
        <v>23020096.61163032</v>
      </c>
      <c r="Q81" s="199">
        <f t="shared" si="9"/>
        <v>91262776.11859095</v>
      </c>
      <c r="R81" s="49">
        <v>0.97</v>
      </c>
    </row>
    <row r="82" spans="1:18" ht="12.75">
      <c r="A82" s="49">
        <v>2013</v>
      </c>
      <c r="B82" s="305"/>
      <c r="C82" s="50">
        <f t="shared" si="21"/>
        <v>19713620.26541786</v>
      </c>
      <c r="D82" s="51">
        <f>Passenger_Mode_Shares!U22</f>
        <v>0.08564173302989961</v>
      </c>
      <c r="E82" s="52">
        <v>9.4</v>
      </c>
      <c r="F82" s="53">
        <f t="shared" si="20"/>
        <v>9233101204.359438</v>
      </c>
      <c r="G82" s="53">
        <f t="shared" si="16"/>
        <v>982244808.9744083</v>
      </c>
      <c r="H82" s="183">
        <f t="shared" si="23"/>
        <v>6.245129677710296</v>
      </c>
      <c r="I82" s="54">
        <f t="shared" si="22"/>
        <v>68.16843662737142</v>
      </c>
      <c r="J82" s="54">
        <f t="shared" si="22"/>
        <v>2.1532085150361784</v>
      </c>
      <c r="K82" s="51">
        <f t="shared" si="22"/>
        <v>0.023924539055957542</v>
      </c>
      <c r="L82" s="184">
        <f t="shared" si="22"/>
        <v>0.09484842259529098</v>
      </c>
      <c r="M82" s="198">
        <f t="shared" si="5"/>
        <v>6134246207.302958</v>
      </c>
      <c r="N82" s="52">
        <f t="shared" si="6"/>
        <v>66958093013.1365</v>
      </c>
      <c r="O82" s="52">
        <f t="shared" si="7"/>
        <v>2114977886.5337803</v>
      </c>
      <c r="P82" s="52">
        <f t="shared" si="8"/>
        <v>23499754.294819787</v>
      </c>
      <c r="Q82" s="199">
        <f t="shared" si="9"/>
        <v>93164370.73363554</v>
      </c>
      <c r="R82" s="49">
        <v>0.97</v>
      </c>
    </row>
    <row r="83" spans="1:18" ht="12.75">
      <c r="A83" s="49">
        <v>2014</v>
      </c>
      <c r="B83" s="305"/>
      <c r="C83" s="50">
        <f t="shared" si="21"/>
        <v>20009324.569399126</v>
      </c>
      <c r="D83" s="51">
        <f>Passenger_Mode_Shares!U23</f>
        <v>0.08785050999744289</v>
      </c>
      <c r="E83" s="52">
        <v>9.4</v>
      </c>
      <c r="F83" s="53">
        <f t="shared" si="20"/>
        <v>9717483160.477583</v>
      </c>
      <c r="G83" s="53">
        <f t="shared" si="16"/>
        <v>1033774804.3061258</v>
      </c>
      <c r="H83" s="183">
        <f t="shared" si="23"/>
        <v>6.057775787378987</v>
      </c>
      <c r="I83" s="54">
        <f t="shared" si="22"/>
        <v>66.12338352855028</v>
      </c>
      <c r="J83" s="54">
        <f t="shared" si="22"/>
        <v>2.088612259585093</v>
      </c>
      <c r="K83" s="51">
        <f t="shared" si="22"/>
        <v>0.023206802884278815</v>
      </c>
      <c r="L83" s="184">
        <f t="shared" si="22"/>
        <v>0.09200296991743226</v>
      </c>
      <c r="M83" s="198">
        <f t="shared" si="5"/>
        <v>6262375979.128099</v>
      </c>
      <c r="N83" s="52">
        <f t="shared" si="6"/>
        <v>68356687867.285965</v>
      </c>
      <c r="O83" s="52">
        <f t="shared" si="7"/>
        <v>2159154729.9239545</v>
      </c>
      <c r="P83" s="52">
        <f t="shared" si="8"/>
        <v>23990608.110266168</v>
      </c>
      <c r="Q83" s="199">
        <f t="shared" si="9"/>
        <v>95110352.22197591</v>
      </c>
      <c r="R83" s="49">
        <v>0.97</v>
      </c>
    </row>
    <row r="84" spans="1:18" ht="12.75">
      <c r="A84" s="49">
        <v>2015</v>
      </c>
      <c r="B84" s="305"/>
      <c r="C84" s="50">
        <f t="shared" si="21"/>
        <v>20309464.43794011</v>
      </c>
      <c r="D84" s="51">
        <f>Passenger_Mode_Shares!U24</f>
        <v>0.09012023915804442</v>
      </c>
      <c r="E84" s="52">
        <v>9.4</v>
      </c>
      <c r="F84" s="53">
        <f t="shared" si="20"/>
        <v>10227728854.73302</v>
      </c>
      <c r="G84" s="53">
        <f t="shared" si="16"/>
        <v>1088056261.1418107</v>
      </c>
      <c r="H84" s="183">
        <f t="shared" si="23"/>
        <v>5.876042513757618</v>
      </c>
      <c r="I84" s="54">
        <f t="shared" si="22"/>
        <v>64.13968202269376</v>
      </c>
      <c r="J84" s="54">
        <f t="shared" si="22"/>
        <v>2.02595389179754</v>
      </c>
      <c r="K84" s="51">
        <f t="shared" si="22"/>
        <v>0.02251059879775045</v>
      </c>
      <c r="L84" s="184">
        <f t="shared" si="22"/>
        <v>0.08924288081990929</v>
      </c>
      <c r="M84" s="198">
        <f t="shared" si="5"/>
        <v>6393464847.82944</v>
      </c>
      <c r="N84" s="52">
        <f t="shared" si="6"/>
        <v>69787582612.43678</v>
      </c>
      <c r="O84" s="52">
        <f t="shared" si="7"/>
        <v>2204351816.754932</v>
      </c>
      <c r="P84" s="52">
        <f t="shared" si="8"/>
        <v>24492797.96394369</v>
      </c>
      <c r="Q84" s="199">
        <f t="shared" si="9"/>
        <v>97101275.2384347</v>
      </c>
      <c r="R84" s="49">
        <v>0.97</v>
      </c>
    </row>
    <row r="85" spans="1:18" ht="12.75">
      <c r="A85" s="49">
        <v>2016</v>
      </c>
      <c r="B85" s="305"/>
      <c r="C85" s="50">
        <f t="shared" si="21"/>
        <v>20614106.40450921</v>
      </c>
      <c r="D85" s="51">
        <f>Passenger_Mode_Shares!U25</f>
        <v>0.07130225292323268</v>
      </c>
      <c r="E85" s="52">
        <v>9.4</v>
      </c>
      <c r="F85" s="53">
        <f t="shared" si="20"/>
        <v>8302473223.230691</v>
      </c>
      <c r="G85" s="53">
        <f t="shared" si="16"/>
        <v>883241832.2585841</v>
      </c>
      <c r="H85" s="183">
        <f t="shared" si="23"/>
        <v>5.817282088620042</v>
      </c>
      <c r="I85" s="54">
        <f t="shared" si="22"/>
        <v>63.498285202466825</v>
      </c>
      <c r="J85" s="54">
        <f t="shared" si="22"/>
        <v>2.0056943528795648</v>
      </c>
      <c r="K85" s="51">
        <f t="shared" si="22"/>
        <v>0.022285492809772944</v>
      </c>
      <c r="L85" s="184">
        <f t="shared" si="22"/>
        <v>0.0883504520117102</v>
      </c>
      <c r="M85" s="198">
        <f t="shared" si="5"/>
        <v>5138066890.717809</v>
      </c>
      <c r="N85" s="52">
        <f t="shared" si="6"/>
        <v>56084341767.50494</v>
      </c>
      <c r="O85" s="52">
        <f t="shared" si="7"/>
        <v>1771513155.188042</v>
      </c>
      <c r="P85" s="52">
        <f t="shared" si="8"/>
        <v>19683479.50208936</v>
      </c>
      <c r="Q85" s="199">
        <f t="shared" si="9"/>
        <v>78034815.11569703</v>
      </c>
      <c r="R85" s="49">
        <v>0.99</v>
      </c>
    </row>
    <row r="86" spans="1:18" ht="12.75">
      <c r="A86" s="49">
        <v>2017</v>
      </c>
      <c r="B86" s="305"/>
      <c r="C86" s="50">
        <f t="shared" si="21"/>
        <v>20923318.000576846</v>
      </c>
      <c r="D86" s="51">
        <f>Passenger_Mode_Shares!U26</f>
        <v>0.07322028438775681</v>
      </c>
      <c r="E86" s="52">
        <v>9.4</v>
      </c>
      <c r="F86" s="53">
        <f t="shared" si="20"/>
        <v>8747480909.360628</v>
      </c>
      <c r="G86" s="53">
        <f t="shared" si="16"/>
        <v>930583075.4638966</v>
      </c>
      <c r="H86" s="183">
        <f t="shared" si="23"/>
        <v>5.759109267733841</v>
      </c>
      <c r="I86" s="54">
        <f t="shared" si="22"/>
        <v>62.863302350442154</v>
      </c>
      <c r="J86" s="54">
        <f t="shared" si="22"/>
        <v>1.9856374093507692</v>
      </c>
      <c r="K86" s="51">
        <f t="shared" si="22"/>
        <v>0.022062637881675215</v>
      </c>
      <c r="L86" s="184">
        <f t="shared" si="22"/>
        <v>0.08746694749159309</v>
      </c>
      <c r="M86" s="198">
        <f t="shared" si="5"/>
        <v>5359329614.300387</v>
      </c>
      <c r="N86" s="52">
        <f t="shared" si="6"/>
        <v>58499525235.09126</v>
      </c>
      <c r="O86" s="52">
        <f t="shared" si="7"/>
        <v>1847800567.149803</v>
      </c>
      <c r="P86" s="52">
        <f t="shared" si="8"/>
        <v>20531117.41277559</v>
      </c>
      <c r="Q86" s="199">
        <f t="shared" si="9"/>
        <v>81395260.99816586</v>
      </c>
      <c r="R86" s="49">
        <v>0.99</v>
      </c>
    </row>
    <row r="87" spans="1:18" ht="12.75">
      <c r="A87" s="49">
        <v>2018</v>
      </c>
      <c r="B87" s="305"/>
      <c r="C87" s="50">
        <f t="shared" si="21"/>
        <v>21237167.770585496</v>
      </c>
      <c r="D87" s="51">
        <f>Passenger_Mode_Shares!U27</f>
        <v>0.06548136963064116</v>
      </c>
      <c r="E87" s="52">
        <v>9.4</v>
      </c>
      <c r="F87" s="53">
        <f t="shared" si="20"/>
        <v>8026324378.233658</v>
      </c>
      <c r="G87" s="53">
        <f t="shared" si="16"/>
        <v>853864295.5567721</v>
      </c>
      <c r="H87" s="183">
        <f t="shared" si="23"/>
        <v>5.701518175056503</v>
      </c>
      <c r="I87" s="54">
        <f t="shared" si="22"/>
        <v>62.234669326937734</v>
      </c>
      <c r="J87" s="54">
        <f t="shared" si="22"/>
        <v>1.9657810352572616</v>
      </c>
      <c r="K87" s="51">
        <f t="shared" si="22"/>
        <v>0.02184201150285846</v>
      </c>
      <c r="L87" s="184">
        <f t="shared" si="22"/>
        <v>0.08659227801667715</v>
      </c>
      <c r="M87" s="198">
        <f t="shared" si="5"/>
        <v>4868322800.148753</v>
      </c>
      <c r="N87" s="52">
        <f t="shared" si="6"/>
        <v>53139962084.054344</v>
      </c>
      <c r="O87" s="52">
        <f t="shared" si="7"/>
        <v>1678510238.888804</v>
      </c>
      <c r="P87" s="52">
        <f t="shared" si="8"/>
        <v>18650113.765431155</v>
      </c>
      <c r="Q87" s="199">
        <f t="shared" si="9"/>
        <v>73938054.46936621</v>
      </c>
      <c r="R87" s="49">
        <v>0.99</v>
      </c>
    </row>
    <row r="88" spans="1:18" ht="12.75">
      <c r="A88" s="49">
        <v>2019</v>
      </c>
      <c r="B88" s="305"/>
      <c r="C88" s="50">
        <f t="shared" si="21"/>
        <v>21555725.287144277</v>
      </c>
      <c r="D88" s="51">
        <f>Passenger_Mode_Shares!U28</f>
        <v>0.06726836602307501</v>
      </c>
      <c r="E88" s="52">
        <v>9.4</v>
      </c>
      <c r="F88" s="53">
        <f t="shared" si="20"/>
        <v>8459743436.921087</v>
      </c>
      <c r="G88" s="53">
        <f t="shared" si="16"/>
        <v>899972706.0554348</v>
      </c>
      <c r="H88" s="183">
        <f t="shared" si="23"/>
        <v>5.644502993305938</v>
      </c>
      <c r="I88" s="54">
        <f t="shared" si="22"/>
        <v>61.612322633668356</v>
      </c>
      <c r="J88" s="54">
        <f t="shared" si="22"/>
        <v>1.946123224904689</v>
      </c>
      <c r="K88" s="51">
        <f t="shared" si="22"/>
        <v>0.021623591387829877</v>
      </c>
      <c r="L88" s="184">
        <f t="shared" si="22"/>
        <v>0.08572635523651038</v>
      </c>
      <c r="M88" s="198">
        <f t="shared" si="5"/>
        <v>5079898633.223547</v>
      </c>
      <c r="N88" s="52">
        <f t="shared" si="6"/>
        <v>55449408726.983025</v>
      </c>
      <c r="O88" s="52">
        <f t="shared" si="7"/>
        <v>1751457785.0348024</v>
      </c>
      <c r="P88" s="52">
        <f t="shared" si="8"/>
        <v>19460642.05594225</v>
      </c>
      <c r="Q88" s="199">
        <f t="shared" si="9"/>
        <v>77151379.90247175</v>
      </c>
      <c r="R88" s="49">
        <v>0.99</v>
      </c>
    </row>
    <row r="89" spans="1:18" ht="12.75">
      <c r="A89" s="49">
        <v>2020</v>
      </c>
      <c r="B89" s="305"/>
      <c r="C89" s="50">
        <f t="shared" si="21"/>
        <v>21879061.16645144</v>
      </c>
      <c r="D89" s="51">
        <f>Passenger_Mode_Shares!U29</f>
        <v>0.06910734931361044</v>
      </c>
      <c r="E89" s="52">
        <v>9.4</v>
      </c>
      <c r="F89" s="53">
        <f t="shared" si="20"/>
        <v>8916982406.824614</v>
      </c>
      <c r="G89" s="53">
        <f t="shared" si="16"/>
        <v>948615149.662193</v>
      </c>
      <c r="H89" s="183">
        <f t="shared" si="23"/>
        <v>5.588057963372878</v>
      </c>
      <c r="I89" s="54">
        <f t="shared" si="22"/>
        <v>60.99619940733167</v>
      </c>
      <c r="J89" s="54">
        <f t="shared" si="22"/>
        <v>1.926661992655642</v>
      </c>
      <c r="K89" s="51">
        <f t="shared" si="22"/>
        <v>0.02140735547395158</v>
      </c>
      <c r="L89" s="184">
        <f t="shared" si="22"/>
        <v>0.08486909168414528</v>
      </c>
      <c r="M89" s="198">
        <f t="shared" si="5"/>
        <v>5300916441.245972</v>
      </c>
      <c r="N89" s="52">
        <f t="shared" si="6"/>
        <v>57861918829.6109</v>
      </c>
      <c r="O89" s="52">
        <f t="shared" si="7"/>
        <v>1827660754.5114908</v>
      </c>
      <c r="P89" s="52">
        <f t="shared" si="8"/>
        <v>20307341.71679434</v>
      </c>
      <c r="Q89" s="199">
        <f t="shared" si="9"/>
        <v>80508106.10964985</v>
      </c>
      <c r="R89" s="49">
        <v>0.99</v>
      </c>
    </row>
    <row r="90" spans="1:18" ht="12.75">
      <c r="A90" s="61">
        <v>2005</v>
      </c>
      <c r="B90" s="297" t="s">
        <v>43</v>
      </c>
      <c r="C90" s="62">
        <f>$B$1</f>
        <v>17500000</v>
      </c>
      <c r="D90" s="63">
        <f>Passenger_Mode_Shares!Z14</f>
        <v>0.1442389124068557</v>
      </c>
      <c r="E90" s="61">
        <v>62</v>
      </c>
      <c r="F90" s="64">
        <f aca="true" t="shared" si="24" ref="F90:F105">B5*D90</f>
        <v>12663848365.796206</v>
      </c>
      <c r="G90" s="64">
        <f aca="true" t="shared" si="25" ref="G90:G105">F90/E90</f>
        <v>204255618.8031646</v>
      </c>
      <c r="H90" s="187">
        <v>0</v>
      </c>
      <c r="I90" s="65">
        <v>0</v>
      </c>
      <c r="J90" s="65">
        <v>0</v>
      </c>
      <c r="K90" s="63">
        <v>0</v>
      </c>
      <c r="L90" s="188">
        <v>0</v>
      </c>
      <c r="M90" s="202">
        <f t="shared" si="5"/>
        <v>0</v>
      </c>
      <c r="N90" s="66">
        <f t="shared" si="6"/>
        <v>0</v>
      </c>
      <c r="O90" s="66">
        <f t="shared" si="7"/>
        <v>0</v>
      </c>
      <c r="P90" s="66">
        <f t="shared" si="8"/>
        <v>0</v>
      </c>
      <c r="Q90" s="203">
        <f t="shared" si="9"/>
        <v>0</v>
      </c>
      <c r="R90" s="210" t="s">
        <v>53</v>
      </c>
    </row>
    <row r="91" spans="1:18" ht="12.75">
      <c r="A91" s="61">
        <v>2006</v>
      </c>
      <c r="B91" s="297"/>
      <c r="C91" s="62">
        <f aca="true" t="shared" si="26" ref="C91:C105">C90*(1+$B$2)</f>
        <v>17762500</v>
      </c>
      <c r="D91" s="63">
        <f>Passenger_Mode_Shares!Z15</f>
        <v>0.1347964617850921</v>
      </c>
      <c r="E91" s="61">
        <v>62</v>
      </c>
      <c r="F91" s="64">
        <f t="shared" si="24"/>
        <v>12142528072.53282</v>
      </c>
      <c r="G91" s="64">
        <f t="shared" si="25"/>
        <v>195847226.9763358</v>
      </c>
      <c r="H91" s="187">
        <f>H90*$R91</f>
        <v>0</v>
      </c>
      <c r="I91" s="65">
        <f aca="true" t="shared" si="27" ref="I91:L105">I90*$R91</f>
        <v>0</v>
      </c>
      <c r="J91" s="65">
        <f t="shared" si="27"/>
        <v>0</v>
      </c>
      <c r="K91" s="63">
        <f t="shared" si="27"/>
        <v>0</v>
      </c>
      <c r="L91" s="188">
        <f t="shared" si="27"/>
        <v>0</v>
      </c>
      <c r="M91" s="202">
        <f aca="true" t="shared" si="28" ref="M91:M105">H91*$G91</f>
        <v>0</v>
      </c>
      <c r="N91" s="66">
        <f aca="true" t="shared" si="29" ref="N91:N105">I91*$G91</f>
        <v>0</v>
      </c>
      <c r="O91" s="66">
        <f aca="true" t="shared" si="30" ref="O91:O105">J91*$G91</f>
        <v>0</v>
      </c>
      <c r="P91" s="66">
        <f aca="true" t="shared" si="31" ref="P91:P105">K91*$G91</f>
        <v>0</v>
      </c>
      <c r="Q91" s="203">
        <f aca="true" t="shared" si="32" ref="Q91:Q105">L91*$G91</f>
        <v>0</v>
      </c>
      <c r="R91" s="61">
        <v>1</v>
      </c>
    </row>
    <row r="92" spans="1:18" ht="12.75">
      <c r="A92" s="61">
        <v>2007</v>
      </c>
      <c r="B92" s="297"/>
      <c r="C92" s="62">
        <f t="shared" si="26"/>
        <v>18028937.5</v>
      </c>
      <c r="D92" s="63">
        <f>Passenger_Mode_Shares!Z16</f>
        <v>0.13785194152845934</v>
      </c>
      <c r="E92" s="61">
        <v>62</v>
      </c>
      <c r="F92" s="64">
        <f t="shared" si="24"/>
        <v>12740629056.102055</v>
      </c>
      <c r="G92" s="64">
        <f t="shared" si="25"/>
        <v>205494017.0339041</v>
      </c>
      <c r="H92" s="187">
        <f aca="true" t="shared" si="33" ref="H92:H105">H91*$R92</f>
        <v>0</v>
      </c>
      <c r="I92" s="65">
        <f t="shared" si="27"/>
        <v>0</v>
      </c>
      <c r="J92" s="65">
        <f t="shared" si="27"/>
        <v>0</v>
      </c>
      <c r="K92" s="63">
        <f t="shared" si="27"/>
        <v>0</v>
      </c>
      <c r="L92" s="188">
        <f t="shared" si="27"/>
        <v>0</v>
      </c>
      <c r="M92" s="202">
        <f t="shared" si="28"/>
        <v>0</v>
      </c>
      <c r="N92" s="66">
        <f t="shared" si="29"/>
        <v>0</v>
      </c>
      <c r="O92" s="66">
        <f t="shared" si="30"/>
        <v>0</v>
      </c>
      <c r="P92" s="66">
        <f t="shared" si="31"/>
        <v>0</v>
      </c>
      <c r="Q92" s="203">
        <f t="shared" si="32"/>
        <v>0</v>
      </c>
      <c r="R92" s="61">
        <v>1</v>
      </c>
    </row>
    <row r="93" spans="1:18" ht="12.75">
      <c r="A93" s="61">
        <v>2008</v>
      </c>
      <c r="B93" s="297"/>
      <c r="C93" s="62">
        <f t="shared" si="26"/>
        <v>18299371.5625</v>
      </c>
      <c r="D93" s="63">
        <f>Passenger_Mode_Shares!Z17</f>
        <v>0.1409829298040979</v>
      </c>
      <c r="E93" s="61">
        <v>62</v>
      </c>
      <c r="F93" s="64">
        <f t="shared" si="24"/>
        <v>13368783079.52455</v>
      </c>
      <c r="G93" s="64">
        <f t="shared" si="25"/>
        <v>215625533.54071853</v>
      </c>
      <c r="H93" s="187">
        <f t="shared" si="33"/>
        <v>0</v>
      </c>
      <c r="I93" s="65">
        <f t="shared" si="27"/>
        <v>0</v>
      </c>
      <c r="J93" s="65">
        <f t="shared" si="27"/>
        <v>0</v>
      </c>
      <c r="K93" s="63">
        <f t="shared" si="27"/>
        <v>0</v>
      </c>
      <c r="L93" s="188">
        <f t="shared" si="27"/>
        <v>0</v>
      </c>
      <c r="M93" s="202">
        <f t="shared" si="28"/>
        <v>0</v>
      </c>
      <c r="N93" s="66">
        <f t="shared" si="29"/>
        <v>0</v>
      </c>
      <c r="O93" s="66">
        <f t="shared" si="30"/>
        <v>0</v>
      </c>
      <c r="P93" s="66">
        <f t="shared" si="31"/>
        <v>0</v>
      </c>
      <c r="Q93" s="203">
        <f t="shared" si="32"/>
        <v>0</v>
      </c>
      <c r="R93" s="61">
        <v>1</v>
      </c>
    </row>
    <row r="94" spans="1:18" ht="12.75">
      <c r="A94" s="61">
        <v>2009</v>
      </c>
      <c r="B94" s="297"/>
      <c r="C94" s="62">
        <f t="shared" si="26"/>
        <v>18573862.135937497</v>
      </c>
      <c r="D94" s="63">
        <f>Passenger_Mode_Shares!Z18</f>
        <v>0.1441906829258277</v>
      </c>
      <c r="E94" s="61">
        <v>62</v>
      </c>
      <c r="F94" s="64">
        <f t="shared" si="24"/>
        <v>14028456976.22627</v>
      </c>
      <c r="G94" s="64">
        <f t="shared" si="25"/>
        <v>226265435.10042372</v>
      </c>
      <c r="H94" s="187">
        <f t="shared" si="33"/>
        <v>0</v>
      </c>
      <c r="I94" s="65">
        <f t="shared" si="27"/>
        <v>0</v>
      </c>
      <c r="J94" s="65">
        <f t="shared" si="27"/>
        <v>0</v>
      </c>
      <c r="K94" s="63">
        <f t="shared" si="27"/>
        <v>0</v>
      </c>
      <c r="L94" s="188">
        <f t="shared" si="27"/>
        <v>0</v>
      </c>
      <c r="M94" s="202">
        <f t="shared" si="28"/>
        <v>0</v>
      </c>
      <c r="N94" s="66">
        <f t="shared" si="29"/>
        <v>0</v>
      </c>
      <c r="O94" s="66">
        <f t="shared" si="30"/>
        <v>0</v>
      </c>
      <c r="P94" s="66">
        <f t="shared" si="31"/>
        <v>0</v>
      </c>
      <c r="Q94" s="203">
        <f t="shared" si="32"/>
        <v>0</v>
      </c>
      <c r="R94" s="61">
        <v>1</v>
      </c>
    </row>
    <row r="95" spans="1:18" ht="12.75">
      <c r="A95" s="61">
        <v>2010</v>
      </c>
      <c r="B95" s="297"/>
      <c r="C95" s="62">
        <f t="shared" si="26"/>
        <v>18852470.067976557</v>
      </c>
      <c r="D95" s="63">
        <f>Passenger_Mode_Shares!Z19</f>
        <v>0.14747641585362514</v>
      </c>
      <c r="E95" s="61">
        <v>62</v>
      </c>
      <c r="F95" s="64">
        <f t="shared" si="24"/>
        <v>14721180607.263054</v>
      </c>
      <c r="G95" s="64">
        <f t="shared" si="25"/>
        <v>237438396.89133957</v>
      </c>
      <c r="H95" s="187">
        <f t="shared" si="33"/>
        <v>0</v>
      </c>
      <c r="I95" s="65">
        <f t="shared" si="27"/>
        <v>0</v>
      </c>
      <c r="J95" s="65">
        <f t="shared" si="27"/>
        <v>0</v>
      </c>
      <c r="K95" s="63">
        <f t="shared" si="27"/>
        <v>0</v>
      </c>
      <c r="L95" s="188">
        <f t="shared" si="27"/>
        <v>0</v>
      </c>
      <c r="M95" s="202">
        <f t="shared" si="28"/>
        <v>0</v>
      </c>
      <c r="N95" s="66">
        <f t="shared" si="29"/>
        <v>0</v>
      </c>
      <c r="O95" s="66">
        <f t="shared" si="30"/>
        <v>0</v>
      </c>
      <c r="P95" s="66">
        <f t="shared" si="31"/>
        <v>0</v>
      </c>
      <c r="Q95" s="203">
        <f t="shared" si="32"/>
        <v>0</v>
      </c>
      <c r="R95" s="61">
        <v>1</v>
      </c>
    </row>
    <row r="96" spans="1:18" ht="12.75">
      <c r="A96" s="61">
        <v>2011</v>
      </c>
      <c r="B96" s="297"/>
      <c r="C96" s="62">
        <f t="shared" si="26"/>
        <v>19135257.118996203</v>
      </c>
      <c r="D96" s="63">
        <f>Passenger_Mode_Shares!Z20</f>
        <v>0.13800188209163897</v>
      </c>
      <c r="E96" s="61">
        <v>62</v>
      </c>
      <c r="F96" s="64">
        <f t="shared" si="24"/>
        <v>14133588307.928398</v>
      </c>
      <c r="G96" s="64">
        <f t="shared" si="25"/>
        <v>227961101.74078062</v>
      </c>
      <c r="H96" s="187">
        <f t="shared" si="33"/>
        <v>0</v>
      </c>
      <c r="I96" s="65">
        <f t="shared" si="27"/>
        <v>0</v>
      </c>
      <c r="J96" s="65">
        <f t="shared" si="27"/>
        <v>0</v>
      </c>
      <c r="K96" s="63">
        <f t="shared" si="27"/>
        <v>0</v>
      </c>
      <c r="L96" s="188">
        <f t="shared" si="27"/>
        <v>0</v>
      </c>
      <c r="M96" s="202">
        <f t="shared" si="28"/>
        <v>0</v>
      </c>
      <c r="N96" s="66">
        <f t="shared" si="29"/>
        <v>0</v>
      </c>
      <c r="O96" s="66">
        <f t="shared" si="30"/>
        <v>0</v>
      </c>
      <c r="P96" s="66">
        <f t="shared" si="31"/>
        <v>0</v>
      </c>
      <c r="Q96" s="203">
        <f t="shared" si="32"/>
        <v>0</v>
      </c>
      <c r="R96" s="61">
        <v>1</v>
      </c>
    </row>
    <row r="97" spans="1:18" ht="12.75">
      <c r="A97" s="61">
        <v>2012</v>
      </c>
      <c r="B97" s="297"/>
      <c r="C97" s="62">
        <f t="shared" si="26"/>
        <v>19422285.975781143</v>
      </c>
      <c r="D97" s="63">
        <f>Passenger_Mode_Shares!Z21</f>
        <v>0.14125603255494784</v>
      </c>
      <c r="E97" s="61">
        <v>62</v>
      </c>
      <c r="F97" s="64">
        <f t="shared" si="24"/>
        <v>14843003580.534384</v>
      </c>
      <c r="G97" s="64">
        <f t="shared" si="25"/>
        <v>239403283.55700618</v>
      </c>
      <c r="H97" s="187">
        <f t="shared" si="33"/>
        <v>0</v>
      </c>
      <c r="I97" s="65">
        <f t="shared" si="27"/>
        <v>0</v>
      </c>
      <c r="J97" s="65">
        <f t="shared" si="27"/>
        <v>0</v>
      </c>
      <c r="K97" s="63">
        <f t="shared" si="27"/>
        <v>0</v>
      </c>
      <c r="L97" s="188">
        <f t="shared" si="27"/>
        <v>0</v>
      </c>
      <c r="M97" s="202">
        <f t="shared" si="28"/>
        <v>0</v>
      </c>
      <c r="N97" s="66">
        <f t="shared" si="29"/>
        <v>0</v>
      </c>
      <c r="O97" s="66">
        <f t="shared" si="30"/>
        <v>0</v>
      </c>
      <c r="P97" s="66">
        <f t="shared" si="31"/>
        <v>0</v>
      </c>
      <c r="Q97" s="203">
        <f t="shared" si="32"/>
        <v>0</v>
      </c>
      <c r="R97" s="61">
        <v>1</v>
      </c>
    </row>
    <row r="98" spans="1:18" ht="12.75">
      <c r="A98" s="61">
        <v>2013</v>
      </c>
      <c r="B98" s="297"/>
      <c r="C98" s="62">
        <f t="shared" si="26"/>
        <v>19713620.26541786</v>
      </c>
      <c r="D98" s="63">
        <f>Passenger_Mode_Shares!Z22</f>
        <v>0.14459201048266787</v>
      </c>
      <c r="E98" s="61">
        <v>62</v>
      </c>
      <c r="F98" s="64">
        <f t="shared" si="24"/>
        <v>15588576023.586313</v>
      </c>
      <c r="G98" s="64">
        <f t="shared" si="25"/>
        <v>251428645.54171473</v>
      </c>
      <c r="H98" s="187">
        <f t="shared" si="33"/>
        <v>0</v>
      </c>
      <c r="I98" s="65">
        <f t="shared" si="27"/>
        <v>0</v>
      </c>
      <c r="J98" s="65">
        <f t="shared" si="27"/>
        <v>0</v>
      </c>
      <c r="K98" s="63">
        <f t="shared" si="27"/>
        <v>0</v>
      </c>
      <c r="L98" s="188">
        <f t="shared" si="27"/>
        <v>0</v>
      </c>
      <c r="M98" s="202">
        <f t="shared" si="28"/>
        <v>0</v>
      </c>
      <c r="N98" s="66">
        <f t="shared" si="29"/>
        <v>0</v>
      </c>
      <c r="O98" s="66">
        <f t="shared" si="30"/>
        <v>0</v>
      </c>
      <c r="P98" s="66">
        <f t="shared" si="31"/>
        <v>0</v>
      </c>
      <c r="Q98" s="203">
        <f t="shared" si="32"/>
        <v>0</v>
      </c>
      <c r="R98" s="61">
        <v>1</v>
      </c>
    </row>
    <row r="99" spans="1:18" ht="12.75">
      <c r="A99" s="61">
        <v>2014</v>
      </c>
      <c r="B99" s="297"/>
      <c r="C99" s="62">
        <f t="shared" si="26"/>
        <v>20009324.569399126</v>
      </c>
      <c r="D99" s="63">
        <f>Passenger_Mode_Shares!Z23</f>
        <v>0.148011120494437</v>
      </c>
      <c r="E99" s="61">
        <v>62</v>
      </c>
      <c r="F99" s="64">
        <f t="shared" si="24"/>
        <v>16372079923.155542</v>
      </c>
      <c r="G99" s="64">
        <f t="shared" si="25"/>
        <v>264065805.21218616</v>
      </c>
      <c r="H99" s="187">
        <f t="shared" si="33"/>
        <v>0</v>
      </c>
      <c r="I99" s="65">
        <f t="shared" si="27"/>
        <v>0</v>
      </c>
      <c r="J99" s="65">
        <f t="shared" si="27"/>
        <v>0</v>
      </c>
      <c r="K99" s="63">
        <f t="shared" si="27"/>
        <v>0</v>
      </c>
      <c r="L99" s="188">
        <f t="shared" si="27"/>
        <v>0</v>
      </c>
      <c r="M99" s="202">
        <f t="shared" si="28"/>
        <v>0</v>
      </c>
      <c r="N99" s="66">
        <f t="shared" si="29"/>
        <v>0</v>
      </c>
      <c r="O99" s="66">
        <f t="shared" si="30"/>
        <v>0</v>
      </c>
      <c r="P99" s="66">
        <f t="shared" si="31"/>
        <v>0</v>
      </c>
      <c r="Q99" s="203">
        <f t="shared" si="32"/>
        <v>0</v>
      </c>
      <c r="R99" s="61">
        <v>1</v>
      </c>
    </row>
    <row r="100" spans="1:18" ht="12.75">
      <c r="A100" s="61">
        <v>2015</v>
      </c>
      <c r="B100" s="297"/>
      <c r="C100" s="62">
        <f t="shared" si="26"/>
        <v>20309464.43794011</v>
      </c>
      <c r="D100" s="63">
        <f>Passenger_Mode_Shares!Z24</f>
        <v>0.15151461163110086</v>
      </c>
      <c r="E100" s="61">
        <v>62</v>
      </c>
      <c r="F100" s="64">
        <f t="shared" si="24"/>
        <v>17195364545.975586</v>
      </c>
      <c r="G100" s="64">
        <f t="shared" si="25"/>
        <v>277344589.45121914</v>
      </c>
      <c r="H100" s="187">
        <f t="shared" si="33"/>
        <v>0</v>
      </c>
      <c r="I100" s="65">
        <f t="shared" si="27"/>
        <v>0</v>
      </c>
      <c r="J100" s="65">
        <f t="shared" si="27"/>
        <v>0</v>
      </c>
      <c r="K100" s="63">
        <f t="shared" si="27"/>
        <v>0</v>
      </c>
      <c r="L100" s="188">
        <f t="shared" si="27"/>
        <v>0</v>
      </c>
      <c r="M100" s="202">
        <f t="shared" si="28"/>
        <v>0</v>
      </c>
      <c r="N100" s="66">
        <f t="shared" si="29"/>
        <v>0</v>
      </c>
      <c r="O100" s="66">
        <f t="shared" si="30"/>
        <v>0</v>
      </c>
      <c r="P100" s="66">
        <f t="shared" si="31"/>
        <v>0</v>
      </c>
      <c r="Q100" s="203">
        <f t="shared" si="32"/>
        <v>0</v>
      </c>
      <c r="R100" s="61">
        <v>1</v>
      </c>
    </row>
    <row r="101" spans="1:18" ht="12.75">
      <c r="A101" s="61">
        <v>2016</v>
      </c>
      <c r="B101" s="297"/>
      <c r="C101" s="62">
        <f t="shared" si="26"/>
        <v>20614106.40450921</v>
      </c>
      <c r="D101" s="63">
        <f>Passenger_Mode_Shares!Z25</f>
        <v>0.1473160965864713</v>
      </c>
      <c r="E101" s="61">
        <v>62</v>
      </c>
      <c r="F101" s="64">
        <f t="shared" si="24"/>
        <v>17153566642.233274</v>
      </c>
      <c r="G101" s="64">
        <f t="shared" si="25"/>
        <v>276670429.7134399</v>
      </c>
      <c r="H101" s="187">
        <f t="shared" si="33"/>
        <v>0</v>
      </c>
      <c r="I101" s="65">
        <f t="shared" si="27"/>
        <v>0</v>
      </c>
      <c r="J101" s="65">
        <f t="shared" si="27"/>
        <v>0</v>
      </c>
      <c r="K101" s="63">
        <f t="shared" si="27"/>
        <v>0</v>
      </c>
      <c r="L101" s="188">
        <f t="shared" si="27"/>
        <v>0</v>
      </c>
      <c r="M101" s="202">
        <f t="shared" si="28"/>
        <v>0</v>
      </c>
      <c r="N101" s="66">
        <f t="shared" si="29"/>
        <v>0</v>
      </c>
      <c r="O101" s="66">
        <f t="shared" si="30"/>
        <v>0</v>
      </c>
      <c r="P101" s="66">
        <f t="shared" si="31"/>
        <v>0</v>
      </c>
      <c r="Q101" s="203">
        <f t="shared" si="32"/>
        <v>0</v>
      </c>
      <c r="R101" s="61">
        <v>1</v>
      </c>
    </row>
    <row r="102" spans="1:18" ht="12.75">
      <c r="A102" s="61">
        <v>2017</v>
      </c>
      <c r="B102" s="297"/>
      <c r="C102" s="62">
        <f t="shared" si="26"/>
        <v>20923318.000576846</v>
      </c>
      <c r="D102" s="63">
        <f>Passenger_Mode_Shares!Z26</f>
        <v>0.15095309942798354</v>
      </c>
      <c r="E102" s="61">
        <v>62</v>
      </c>
      <c r="F102" s="64">
        <f t="shared" si="24"/>
        <v>18034064829.115814</v>
      </c>
      <c r="G102" s="64">
        <f t="shared" si="25"/>
        <v>290872013.3728357</v>
      </c>
      <c r="H102" s="187">
        <f t="shared" si="33"/>
        <v>0</v>
      </c>
      <c r="I102" s="65">
        <f t="shared" si="27"/>
        <v>0</v>
      </c>
      <c r="J102" s="65">
        <f t="shared" si="27"/>
        <v>0</v>
      </c>
      <c r="K102" s="63">
        <f t="shared" si="27"/>
        <v>0</v>
      </c>
      <c r="L102" s="188">
        <f t="shared" si="27"/>
        <v>0</v>
      </c>
      <c r="M102" s="202">
        <f t="shared" si="28"/>
        <v>0</v>
      </c>
      <c r="N102" s="66">
        <f t="shared" si="29"/>
        <v>0</v>
      </c>
      <c r="O102" s="66">
        <f t="shared" si="30"/>
        <v>0</v>
      </c>
      <c r="P102" s="66">
        <f t="shared" si="31"/>
        <v>0</v>
      </c>
      <c r="Q102" s="203">
        <f t="shared" si="32"/>
        <v>0</v>
      </c>
      <c r="R102" s="61">
        <v>1</v>
      </c>
    </row>
    <row r="103" spans="1:18" ht="12.75">
      <c r="A103" s="61">
        <v>2018</v>
      </c>
      <c r="B103" s="297"/>
      <c r="C103" s="62">
        <f t="shared" si="26"/>
        <v>21237167.770585496</v>
      </c>
      <c r="D103" s="63">
        <f>Passenger_Mode_Shares!Z27</f>
        <v>0.15630900246054583</v>
      </c>
      <c r="E103" s="61">
        <v>62</v>
      </c>
      <c r="F103" s="64">
        <f t="shared" si="24"/>
        <v>19159445870.83585</v>
      </c>
      <c r="G103" s="64">
        <f t="shared" si="25"/>
        <v>309023320.4973524</v>
      </c>
      <c r="H103" s="187">
        <f t="shared" si="33"/>
        <v>0</v>
      </c>
      <c r="I103" s="65">
        <f t="shared" si="27"/>
        <v>0</v>
      </c>
      <c r="J103" s="65">
        <f t="shared" si="27"/>
        <v>0</v>
      </c>
      <c r="K103" s="63">
        <f t="shared" si="27"/>
        <v>0</v>
      </c>
      <c r="L103" s="188">
        <f t="shared" si="27"/>
        <v>0</v>
      </c>
      <c r="M103" s="202">
        <f t="shared" si="28"/>
        <v>0</v>
      </c>
      <c r="N103" s="66">
        <f t="shared" si="29"/>
        <v>0</v>
      </c>
      <c r="O103" s="66">
        <f t="shared" si="30"/>
        <v>0</v>
      </c>
      <c r="P103" s="66">
        <f t="shared" si="31"/>
        <v>0</v>
      </c>
      <c r="Q103" s="203">
        <f t="shared" si="32"/>
        <v>0</v>
      </c>
      <c r="R103" s="61">
        <v>1</v>
      </c>
    </row>
    <row r="104" spans="1:18" ht="12.75">
      <c r="A104" s="61">
        <v>2019</v>
      </c>
      <c r="B104" s="297"/>
      <c r="C104" s="62">
        <f t="shared" si="26"/>
        <v>21555725.287144277</v>
      </c>
      <c r="D104" s="63">
        <f>Passenger_Mode_Shares!Z28</f>
        <v>0.16022193335236293</v>
      </c>
      <c r="E104" s="61">
        <v>62</v>
      </c>
      <c r="F104" s="64">
        <f t="shared" si="24"/>
        <v>20149685940.98905</v>
      </c>
      <c r="G104" s="64">
        <f t="shared" si="25"/>
        <v>324994934.5320815</v>
      </c>
      <c r="H104" s="187">
        <f t="shared" si="33"/>
        <v>0</v>
      </c>
      <c r="I104" s="65">
        <f t="shared" si="27"/>
        <v>0</v>
      </c>
      <c r="J104" s="65">
        <f t="shared" si="27"/>
        <v>0</v>
      </c>
      <c r="K104" s="63">
        <f t="shared" si="27"/>
        <v>0</v>
      </c>
      <c r="L104" s="188">
        <f t="shared" si="27"/>
        <v>0</v>
      </c>
      <c r="M104" s="202">
        <f t="shared" si="28"/>
        <v>0</v>
      </c>
      <c r="N104" s="66">
        <f t="shared" si="29"/>
        <v>0</v>
      </c>
      <c r="O104" s="66">
        <f t="shared" si="30"/>
        <v>0</v>
      </c>
      <c r="P104" s="66">
        <f t="shared" si="31"/>
        <v>0</v>
      </c>
      <c r="Q104" s="203">
        <f t="shared" si="32"/>
        <v>0</v>
      </c>
      <c r="R104" s="61">
        <v>1</v>
      </c>
    </row>
    <row r="105" spans="1:18" ht="13.5" thickBot="1">
      <c r="A105" s="61">
        <v>2020</v>
      </c>
      <c r="B105" s="297"/>
      <c r="C105" s="62">
        <f t="shared" si="26"/>
        <v>21879061.16645144</v>
      </c>
      <c r="D105" s="63">
        <f>Passenger_Mode_Shares!Z29</f>
        <v>0.16423685717889688</v>
      </c>
      <c r="E105" s="61">
        <v>62</v>
      </c>
      <c r="F105" s="64">
        <f t="shared" si="24"/>
        <v>21191626947.959976</v>
      </c>
      <c r="G105" s="64">
        <f t="shared" si="25"/>
        <v>341800434.64451575</v>
      </c>
      <c r="H105" s="189">
        <f t="shared" si="33"/>
        <v>0</v>
      </c>
      <c r="I105" s="190">
        <f t="shared" si="27"/>
        <v>0</v>
      </c>
      <c r="J105" s="190">
        <f t="shared" si="27"/>
        <v>0</v>
      </c>
      <c r="K105" s="191">
        <f t="shared" si="27"/>
        <v>0</v>
      </c>
      <c r="L105" s="192">
        <f t="shared" si="27"/>
        <v>0</v>
      </c>
      <c r="M105" s="204">
        <f t="shared" si="28"/>
        <v>0</v>
      </c>
      <c r="N105" s="205">
        <f t="shared" si="29"/>
        <v>0</v>
      </c>
      <c r="O105" s="205">
        <f t="shared" si="30"/>
        <v>0</v>
      </c>
      <c r="P105" s="205">
        <f t="shared" si="31"/>
        <v>0</v>
      </c>
      <c r="Q105" s="206">
        <f t="shared" si="32"/>
        <v>0</v>
      </c>
      <c r="R105" s="61">
        <v>1</v>
      </c>
    </row>
    <row r="106" spans="1:18" ht="13.5" thickBot="1">
      <c r="A106" s="26"/>
      <c r="B106" s="287"/>
      <c r="C106" s="288"/>
      <c r="D106" s="289"/>
      <c r="E106" s="26"/>
      <c r="F106" s="253"/>
      <c r="G106" s="253"/>
      <c r="H106" s="290"/>
      <c r="I106" s="290"/>
      <c r="J106" s="290"/>
      <c r="K106" s="289"/>
      <c r="L106" s="291"/>
      <c r="M106" s="9"/>
      <c r="N106" s="9"/>
      <c r="O106" s="9"/>
      <c r="P106" s="9"/>
      <c r="Q106" s="9"/>
      <c r="R106" s="9"/>
    </row>
    <row r="107" spans="1:17" ht="12.75">
      <c r="A107" s="1">
        <v>2005</v>
      </c>
      <c r="B107" s="298" t="s">
        <v>50</v>
      </c>
      <c r="C107" s="173"/>
      <c r="D107" s="83"/>
      <c r="E107" s="83"/>
      <c r="F107" s="167"/>
      <c r="G107" s="83"/>
      <c r="H107" s="83"/>
      <c r="I107" s="83"/>
      <c r="J107" s="83"/>
      <c r="K107" s="83"/>
      <c r="L107" s="174"/>
      <c r="M107" s="94">
        <f aca="true" t="shared" si="34" ref="M107:Q120">M26+M42+M58+M74+M90</f>
        <v>72276696485.16046</v>
      </c>
      <c r="N107" s="94">
        <f t="shared" si="34"/>
        <v>798364550050.176</v>
      </c>
      <c r="O107" s="94">
        <f t="shared" si="34"/>
        <v>55116703644.19414</v>
      </c>
      <c r="P107" s="94">
        <f t="shared" si="34"/>
        <v>4764025602.669938</v>
      </c>
      <c r="Q107" s="168">
        <f t="shared" si="34"/>
        <v>4095267509.4107885</v>
      </c>
    </row>
    <row r="108" spans="1:18" ht="12.75">
      <c r="A108" s="3">
        <v>2006</v>
      </c>
      <c r="B108" s="299"/>
      <c r="C108" s="175"/>
      <c r="D108" s="80"/>
      <c r="E108" s="80"/>
      <c r="F108" s="95"/>
      <c r="G108" s="80"/>
      <c r="H108" s="80"/>
      <c r="I108" s="80"/>
      <c r="J108" s="80"/>
      <c r="K108" s="80"/>
      <c r="L108" s="176"/>
      <c r="M108" s="9">
        <f t="shared" si="34"/>
        <v>74974823550.4038</v>
      </c>
      <c r="N108" s="9">
        <f t="shared" si="34"/>
        <v>828853460338.4648</v>
      </c>
      <c r="O108" s="9">
        <f t="shared" si="34"/>
        <v>57465075289.55263</v>
      </c>
      <c r="P108" s="9">
        <f t="shared" si="34"/>
        <v>4998304487.82352</v>
      </c>
      <c r="Q108" s="169">
        <f t="shared" si="34"/>
        <v>4294263777.235124</v>
      </c>
      <c r="R108" s="3"/>
    </row>
    <row r="109" spans="1:17" ht="12.75">
      <c r="A109" s="3">
        <v>2007</v>
      </c>
      <c r="B109" s="299"/>
      <c r="C109" s="175"/>
      <c r="D109" s="80"/>
      <c r="E109" s="80"/>
      <c r="F109" s="95"/>
      <c r="G109" s="80"/>
      <c r="H109" s="80"/>
      <c r="I109" s="80"/>
      <c r="J109" s="80"/>
      <c r="K109" s="80"/>
      <c r="L109" s="176"/>
      <c r="M109" s="9">
        <f t="shared" si="34"/>
        <v>76468020343.97011</v>
      </c>
      <c r="N109" s="9">
        <f t="shared" si="34"/>
        <v>845949010813.2725</v>
      </c>
      <c r="O109" s="9">
        <f t="shared" si="34"/>
        <v>58512569887.69317</v>
      </c>
      <c r="P109" s="9">
        <f t="shared" si="34"/>
        <v>5097056002.944766</v>
      </c>
      <c r="Q109" s="169">
        <f t="shared" si="34"/>
        <v>4388038164.151493</v>
      </c>
    </row>
    <row r="110" spans="1:17" ht="12.75">
      <c r="A110" s="3">
        <v>2008</v>
      </c>
      <c r="B110" s="299"/>
      <c r="C110" s="175"/>
      <c r="D110" s="80"/>
      <c r="E110" s="80"/>
      <c r="F110" s="95"/>
      <c r="G110" s="80"/>
      <c r="H110" s="80"/>
      <c r="I110" s="80"/>
      <c r="J110" s="80"/>
      <c r="K110" s="80"/>
      <c r="L110" s="176"/>
      <c r="M110" s="9">
        <f t="shared" si="34"/>
        <v>77979735661.35074</v>
      </c>
      <c r="N110" s="9">
        <f t="shared" si="34"/>
        <v>863283575592.3015</v>
      </c>
      <c r="O110" s="9">
        <f t="shared" si="34"/>
        <v>59566847741.15955</v>
      </c>
      <c r="P110" s="9">
        <f t="shared" si="34"/>
        <v>5196614746.505182</v>
      </c>
      <c r="Q110" s="169">
        <f t="shared" si="34"/>
        <v>4483136161.597773</v>
      </c>
    </row>
    <row r="111" spans="1:17" ht="12.75">
      <c r="A111" s="3">
        <v>2009</v>
      </c>
      <c r="B111" s="299"/>
      <c r="C111" s="175"/>
      <c r="D111" s="80"/>
      <c r="E111" s="80"/>
      <c r="F111" s="95"/>
      <c r="G111" s="80"/>
      <c r="H111" s="80"/>
      <c r="I111" s="80"/>
      <c r="J111" s="80"/>
      <c r="K111" s="80"/>
      <c r="L111" s="176"/>
      <c r="M111" s="9">
        <f t="shared" si="34"/>
        <v>79509465662.97601</v>
      </c>
      <c r="N111" s="9">
        <f t="shared" si="34"/>
        <v>880852678644.1449</v>
      </c>
      <c r="O111" s="9">
        <f t="shared" si="34"/>
        <v>60627187558.48194</v>
      </c>
      <c r="P111" s="9">
        <f t="shared" si="34"/>
        <v>5296913179.369134</v>
      </c>
      <c r="Q111" s="169">
        <f t="shared" si="34"/>
        <v>4579525538.897295</v>
      </c>
    </row>
    <row r="112" spans="1:17" ht="12.75">
      <c r="A112" s="3">
        <v>2010</v>
      </c>
      <c r="B112" s="299"/>
      <c r="C112" s="175"/>
      <c r="D112" s="80"/>
      <c r="E112" s="80"/>
      <c r="F112" s="95"/>
      <c r="G112" s="80"/>
      <c r="H112" s="80"/>
      <c r="I112" s="80"/>
      <c r="J112" s="80"/>
      <c r="K112" s="80"/>
      <c r="L112" s="176"/>
      <c r="M112" s="9">
        <f t="shared" si="34"/>
        <v>81056648702.53091</v>
      </c>
      <c r="N112" s="9">
        <f t="shared" si="34"/>
        <v>898651195584.4781</v>
      </c>
      <c r="O112" s="9">
        <f t="shared" si="34"/>
        <v>61692818071.53243</v>
      </c>
      <c r="P112" s="9">
        <f t="shared" si="34"/>
        <v>5397878549.192706</v>
      </c>
      <c r="Q112" s="169">
        <f t="shared" si="34"/>
        <v>4677169815.67393</v>
      </c>
    </row>
    <row r="113" spans="1:17" ht="12.75">
      <c r="A113" s="3">
        <v>2011</v>
      </c>
      <c r="B113" s="299"/>
      <c r="C113" s="175"/>
      <c r="D113" s="80"/>
      <c r="E113" s="80"/>
      <c r="F113" s="95"/>
      <c r="G113" s="80"/>
      <c r="H113" s="80"/>
      <c r="I113" s="80"/>
      <c r="J113" s="80"/>
      <c r="K113" s="80"/>
      <c r="L113" s="176"/>
      <c r="M113" s="9">
        <f t="shared" si="34"/>
        <v>82341884157.86588</v>
      </c>
      <c r="N113" s="9">
        <f t="shared" si="34"/>
        <v>914459209996.7009</v>
      </c>
      <c r="O113" s="9">
        <f t="shared" si="34"/>
        <v>62903418312.24912</v>
      </c>
      <c r="P113" s="9">
        <f t="shared" si="34"/>
        <v>5557855471.236381</v>
      </c>
      <c r="Q113" s="169">
        <f t="shared" si="34"/>
        <v>4820583289.667884</v>
      </c>
    </row>
    <row r="114" spans="1:17" ht="12.75">
      <c r="A114" s="3">
        <v>2012</v>
      </c>
      <c r="B114" s="299"/>
      <c r="C114" s="175"/>
      <c r="D114" s="80"/>
      <c r="E114" s="80"/>
      <c r="F114" s="95"/>
      <c r="G114" s="80"/>
      <c r="H114" s="80"/>
      <c r="I114" s="80"/>
      <c r="J114" s="80"/>
      <c r="K114" s="80"/>
      <c r="L114" s="176"/>
      <c r="M114" s="9">
        <f t="shared" si="34"/>
        <v>82177587375.99866</v>
      </c>
      <c r="N114" s="9">
        <f t="shared" si="34"/>
        <v>914089034949.397</v>
      </c>
      <c r="O114" s="9">
        <f t="shared" si="34"/>
        <v>62605383666.6606</v>
      </c>
      <c r="P114" s="9">
        <f t="shared" si="34"/>
        <v>5560113578.080987</v>
      </c>
      <c r="Q114" s="169">
        <f t="shared" si="34"/>
        <v>4840045046.749217</v>
      </c>
    </row>
    <row r="115" spans="1:17" ht="12.75">
      <c r="A115" s="3">
        <v>2013</v>
      </c>
      <c r="B115" s="299"/>
      <c r="C115" s="175"/>
      <c r="D115" s="80"/>
      <c r="E115" s="80"/>
      <c r="F115" s="95"/>
      <c r="G115" s="80"/>
      <c r="H115" s="80"/>
      <c r="I115" s="80"/>
      <c r="J115" s="80"/>
      <c r="K115" s="80"/>
      <c r="L115" s="176"/>
      <c r="M115" s="9">
        <f t="shared" si="34"/>
        <v>82049950102.43364</v>
      </c>
      <c r="N115" s="9">
        <f t="shared" si="34"/>
        <v>914174907409.3555</v>
      </c>
      <c r="O115" s="9">
        <f t="shared" si="34"/>
        <v>62315325911.229935</v>
      </c>
      <c r="P115" s="9">
        <f t="shared" si="34"/>
        <v>5561736677.595752</v>
      </c>
      <c r="Q115" s="169">
        <f t="shared" si="34"/>
        <v>4860651742.92775</v>
      </c>
    </row>
    <row r="116" spans="1:17" ht="12.75">
      <c r="A116" s="3">
        <v>2014</v>
      </c>
      <c r="B116" s="299"/>
      <c r="C116" s="175"/>
      <c r="D116" s="80"/>
      <c r="E116" s="80"/>
      <c r="F116" s="95"/>
      <c r="G116" s="80"/>
      <c r="H116" s="80"/>
      <c r="I116" s="80"/>
      <c r="J116" s="80"/>
      <c r="K116" s="80"/>
      <c r="L116" s="176"/>
      <c r="M116" s="9">
        <f t="shared" si="34"/>
        <v>81957258931.06529</v>
      </c>
      <c r="N116" s="9">
        <f t="shared" si="34"/>
        <v>914696616214.6866</v>
      </c>
      <c r="O116" s="9">
        <f t="shared" si="34"/>
        <v>62032325863.96889</v>
      </c>
      <c r="P116" s="9">
        <f t="shared" si="34"/>
        <v>5562669489.876771</v>
      </c>
      <c r="Q116" s="169">
        <f t="shared" si="34"/>
        <v>4882318112.475693</v>
      </c>
    </row>
    <row r="117" spans="1:17" ht="12.75">
      <c r="A117" s="3">
        <v>2015</v>
      </c>
      <c r="B117" s="299"/>
      <c r="C117" s="175"/>
      <c r="D117" s="80"/>
      <c r="E117" s="80"/>
      <c r="F117" s="95"/>
      <c r="G117" s="80"/>
      <c r="H117" s="80"/>
      <c r="I117" s="80"/>
      <c r="J117" s="80"/>
      <c r="K117" s="80"/>
      <c r="L117" s="176"/>
      <c r="M117" s="9">
        <f t="shared" si="34"/>
        <v>81897790137.79825</v>
      </c>
      <c r="N117" s="9">
        <f t="shared" si="34"/>
        <v>915633749057.8799</v>
      </c>
      <c r="O117" s="9">
        <f t="shared" si="34"/>
        <v>61755469329.06615</v>
      </c>
      <c r="P117" s="9">
        <f t="shared" si="34"/>
        <v>5562856147.708442</v>
      </c>
      <c r="Q117" s="169">
        <f t="shared" si="34"/>
        <v>4904957030.933776</v>
      </c>
    </row>
    <row r="118" spans="1:17" ht="12.75">
      <c r="A118" s="3">
        <v>2016</v>
      </c>
      <c r="B118" s="299"/>
      <c r="C118" s="175"/>
      <c r="D118" s="80"/>
      <c r="E118" s="80"/>
      <c r="F118" s="95"/>
      <c r="G118" s="80"/>
      <c r="H118" s="80"/>
      <c r="I118" s="80"/>
      <c r="J118" s="80"/>
      <c r="K118" s="80"/>
      <c r="L118" s="176"/>
      <c r="M118" s="9">
        <f t="shared" si="34"/>
        <v>83555931891.35876</v>
      </c>
      <c r="N118" s="9">
        <f t="shared" si="34"/>
        <v>934280775405.2278</v>
      </c>
      <c r="O118" s="9">
        <f t="shared" si="34"/>
        <v>63783002557.042175</v>
      </c>
      <c r="P118" s="9">
        <f t="shared" si="34"/>
        <v>5800639087.183049</v>
      </c>
      <c r="Q118" s="169">
        <f t="shared" si="34"/>
        <v>5083230952.972781</v>
      </c>
    </row>
    <row r="119" spans="1:17" ht="12.75">
      <c r="A119" s="3">
        <v>2017</v>
      </c>
      <c r="B119" s="299"/>
      <c r="C119" s="175"/>
      <c r="D119" s="80"/>
      <c r="E119" s="80"/>
      <c r="F119" s="95"/>
      <c r="G119" s="80"/>
      <c r="H119" s="80"/>
      <c r="I119" s="80"/>
      <c r="J119" s="80"/>
      <c r="K119" s="80"/>
      <c r="L119" s="176"/>
      <c r="M119" s="9">
        <f t="shared" si="34"/>
        <v>83846529104.19373</v>
      </c>
      <c r="N119" s="9">
        <f t="shared" si="34"/>
        <v>937191683792.0574</v>
      </c>
      <c r="O119" s="9">
        <f t="shared" si="34"/>
        <v>64074276096.55814</v>
      </c>
      <c r="P119" s="9">
        <f t="shared" si="34"/>
        <v>5835213031.051745</v>
      </c>
      <c r="Q119" s="169">
        <f t="shared" si="34"/>
        <v>5102810672.116985</v>
      </c>
    </row>
    <row r="120" spans="1:17" ht="12.75">
      <c r="A120" s="3">
        <v>2018</v>
      </c>
      <c r="B120" s="299"/>
      <c r="C120" s="175"/>
      <c r="D120" s="80"/>
      <c r="E120" s="80"/>
      <c r="F120" s="95"/>
      <c r="G120" s="80"/>
      <c r="H120" s="80"/>
      <c r="I120" s="80"/>
      <c r="J120" s="80"/>
      <c r="K120" s="80"/>
      <c r="L120" s="176"/>
      <c r="M120" s="9">
        <f t="shared" si="34"/>
        <v>84234828091.00063</v>
      </c>
      <c r="N120" s="9">
        <f t="shared" si="34"/>
        <v>941401290053.1241</v>
      </c>
      <c r="O120" s="9">
        <f t="shared" si="34"/>
        <v>64761527161.67146</v>
      </c>
      <c r="P120" s="9">
        <f t="shared" si="34"/>
        <v>5927103467.177383</v>
      </c>
      <c r="Q120" s="169">
        <f t="shared" si="34"/>
        <v>5163499068.410167</v>
      </c>
    </row>
    <row r="121" spans="1:17" ht="12.75">
      <c r="A121" s="3">
        <v>2019</v>
      </c>
      <c r="B121" s="299"/>
      <c r="C121" s="175"/>
      <c r="D121" s="80"/>
      <c r="E121" s="80"/>
      <c r="F121" s="95"/>
      <c r="G121" s="80"/>
      <c r="H121" s="80"/>
      <c r="I121" s="80"/>
      <c r="J121" s="80"/>
      <c r="K121" s="80"/>
      <c r="L121" s="176"/>
      <c r="M121" s="9">
        <f aca="true" t="shared" si="35" ref="M121:Q122">M40+M56+M72+M88+M104</f>
        <v>84508217840.69955</v>
      </c>
      <c r="N121" s="9">
        <f t="shared" si="35"/>
        <v>944136604047.4885</v>
      </c>
      <c r="O121" s="9">
        <f t="shared" si="35"/>
        <v>65040489266.876045</v>
      </c>
      <c r="P121" s="9">
        <f t="shared" si="35"/>
        <v>5960845503.4782505</v>
      </c>
      <c r="Q121" s="169">
        <f t="shared" si="35"/>
        <v>5182536226.364954</v>
      </c>
    </row>
    <row r="122" spans="1:17" ht="13.5" thickBot="1">
      <c r="A122" s="3">
        <v>2020</v>
      </c>
      <c r="B122" s="299"/>
      <c r="C122" s="175"/>
      <c r="D122" s="80"/>
      <c r="E122" s="80"/>
      <c r="F122" s="95"/>
      <c r="G122" s="80"/>
      <c r="H122" s="80"/>
      <c r="I122" s="80"/>
      <c r="J122" s="80"/>
      <c r="K122" s="80"/>
      <c r="L122" s="176"/>
      <c r="M122" s="9">
        <f t="shared" si="35"/>
        <v>84775271920.63129</v>
      </c>
      <c r="N122" s="9">
        <f t="shared" si="35"/>
        <v>946807649713.1758</v>
      </c>
      <c r="O122" s="9">
        <f t="shared" si="35"/>
        <v>65307595419.82371</v>
      </c>
      <c r="P122" s="9">
        <f t="shared" si="35"/>
        <v>5993146827.08203</v>
      </c>
      <c r="Q122" s="169">
        <f t="shared" si="35"/>
        <v>5200676524.804043</v>
      </c>
    </row>
    <row r="123" spans="1:17" ht="12.75">
      <c r="A123" s="171">
        <v>2005</v>
      </c>
      <c r="B123" s="298" t="s">
        <v>51</v>
      </c>
      <c r="C123" s="173"/>
      <c r="D123" s="83"/>
      <c r="E123" s="83"/>
      <c r="F123" s="83"/>
      <c r="G123" s="167"/>
      <c r="H123" s="83"/>
      <c r="I123" s="83"/>
      <c r="J123" s="83"/>
      <c r="K123" s="83"/>
      <c r="L123" s="174"/>
      <c r="M123" s="84">
        <f aca="true" t="shared" si="36" ref="M123:Q136">M107/1000000</f>
        <v>72276.69648516046</v>
      </c>
      <c r="N123" s="84">
        <f t="shared" si="36"/>
        <v>798364.550050176</v>
      </c>
      <c r="O123" s="84">
        <f t="shared" si="36"/>
        <v>55116.70364419414</v>
      </c>
      <c r="P123" s="84">
        <f t="shared" si="36"/>
        <v>4764.025602669938</v>
      </c>
      <c r="Q123" s="85">
        <f t="shared" si="36"/>
        <v>4095.2675094107885</v>
      </c>
    </row>
    <row r="124" spans="1:17" ht="12.75">
      <c r="A124" s="11">
        <v>2006</v>
      </c>
      <c r="B124" s="299"/>
      <c r="C124" s="175"/>
      <c r="D124" s="80"/>
      <c r="E124" s="80"/>
      <c r="F124" s="80"/>
      <c r="G124" s="95"/>
      <c r="H124" s="80"/>
      <c r="I124" s="80"/>
      <c r="J124" s="80"/>
      <c r="K124" s="80"/>
      <c r="L124" s="176"/>
      <c r="M124" s="14">
        <f t="shared" si="36"/>
        <v>74974.82355040379</v>
      </c>
      <c r="N124" s="14">
        <f t="shared" si="36"/>
        <v>828853.4603384648</v>
      </c>
      <c r="O124" s="14">
        <f t="shared" si="36"/>
        <v>57465.07528955263</v>
      </c>
      <c r="P124" s="14">
        <f t="shared" si="36"/>
        <v>4998.30448782352</v>
      </c>
      <c r="Q124" s="88">
        <f t="shared" si="36"/>
        <v>4294.2637772351245</v>
      </c>
    </row>
    <row r="125" spans="1:17" ht="12.75">
      <c r="A125" s="11">
        <v>2007</v>
      </c>
      <c r="B125" s="299"/>
      <c r="C125" s="175"/>
      <c r="D125" s="80"/>
      <c r="E125" s="80"/>
      <c r="F125" s="80"/>
      <c r="G125" s="95"/>
      <c r="H125" s="80"/>
      <c r="I125" s="80"/>
      <c r="J125" s="80"/>
      <c r="K125" s="80"/>
      <c r="L125" s="176"/>
      <c r="M125" s="14">
        <f t="shared" si="36"/>
        <v>76468.02034397011</v>
      </c>
      <c r="N125" s="14">
        <f t="shared" si="36"/>
        <v>845949.0108132724</v>
      </c>
      <c r="O125" s="14">
        <f t="shared" si="36"/>
        <v>58512.56988769317</v>
      </c>
      <c r="P125" s="14">
        <f t="shared" si="36"/>
        <v>5097.056002944766</v>
      </c>
      <c r="Q125" s="88">
        <f t="shared" si="36"/>
        <v>4388.038164151493</v>
      </c>
    </row>
    <row r="126" spans="1:17" ht="12.75">
      <c r="A126" s="11">
        <v>2008</v>
      </c>
      <c r="B126" s="299"/>
      <c r="C126" s="175"/>
      <c r="D126" s="80"/>
      <c r="E126" s="80"/>
      <c r="F126" s="80"/>
      <c r="G126" s="95"/>
      <c r="H126" s="80"/>
      <c r="I126" s="80"/>
      <c r="J126" s="80"/>
      <c r="K126" s="80"/>
      <c r="L126" s="176"/>
      <c r="M126" s="14">
        <f t="shared" si="36"/>
        <v>77979.73566135074</v>
      </c>
      <c r="N126" s="14">
        <f t="shared" si="36"/>
        <v>863283.5755923016</v>
      </c>
      <c r="O126" s="14">
        <f t="shared" si="36"/>
        <v>59566.84774115955</v>
      </c>
      <c r="P126" s="14">
        <f t="shared" si="36"/>
        <v>5196.614746505183</v>
      </c>
      <c r="Q126" s="88">
        <f t="shared" si="36"/>
        <v>4483.136161597773</v>
      </c>
    </row>
    <row r="127" spans="1:17" ht="12.75">
      <c r="A127" s="11">
        <v>2009</v>
      </c>
      <c r="B127" s="299"/>
      <c r="C127" s="175"/>
      <c r="D127" s="80"/>
      <c r="E127" s="80"/>
      <c r="F127" s="80"/>
      <c r="G127" s="95"/>
      <c r="H127" s="80"/>
      <c r="I127" s="80"/>
      <c r="J127" s="80"/>
      <c r="K127" s="80"/>
      <c r="L127" s="176"/>
      <c r="M127" s="14">
        <f t="shared" si="36"/>
        <v>79509.46566297601</v>
      </c>
      <c r="N127" s="14">
        <f t="shared" si="36"/>
        <v>880852.6786441449</v>
      </c>
      <c r="O127" s="14">
        <f t="shared" si="36"/>
        <v>60627.18755848194</v>
      </c>
      <c r="P127" s="14">
        <f t="shared" si="36"/>
        <v>5296.913179369134</v>
      </c>
      <c r="Q127" s="88">
        <f t="shared" si="36"/>
        <v>4579.525538897295</v>
      </c>
    </row>
    <row r="128" spans="1:17" ht="12.75">
      <c r="A128" s="11">
        <v>2010</v>
      </c>
      <c r="B128" s="299"/>
      <c r="C128" s="175"/>
      <c r="D128" s="80"/>
      <c r="E128" s="80"/>
      <c r="F128" s="80"/>
      <c r="G128" s="95"/>
      <c r="H128" s="80"/>
      <c r="I128" s="80"/>
      <c r="J128" s="80"/>
      <c r="K128" s="80"/>
      <c r="L128" s="176"/>
      <c r="M128" s="14">
        <f t="shared" si="36"/>
        <v>81056.64870253092</v>
      </c>
      <c r="N128" s="14">
        <f t="shared" si="36"/>
        <v>898651.1955844782</v>
      </c>
      <c r="O128" s="14">
        <f t="shared" si="36"/>
        <v>61692.818071532434</v>
      </c>
      <c r="P128" s="14">
        <f t="shared" si="36"/>
        <v>5397.8785491927065</v>
      </c>
      <c r="Q128" s="88">
        <f t="shared" si="36"/>
        <v>4677.16981567393</v>
      </c>
    </row>
    <row r="129" spans="1:17" ht="12.75">
      <c r="A129" s="11">
        <v>2011</v>
      </c>
      <c r="B129" s="299"/>
      <c r="C129" s="175"/>
      <c r="D129" s="80"/>
      <c r="E129" s="80"/>
      <c r="F129" s="80"/>
      <c r="G129" s="95"/>
      <c r="H129" s="80"/>
      <c r="I129" s="80"/>
      <c r="J129" s="80"/>
      <c r="K129" s="80"/>
      <c r="L129" s="176"/>
      <c r="M129" s="14">
        <f t="shared" si="36"/>
        <v>82341.88415786588</v>
      </c>
      <c r="N129" s="14">
        <f t="shared" si="36"/>
        <v>914459.209996701</v>
      </c>
      <c r="O129" s="14">
        <f t="shared" si="36"/>
        <v>62903.41831224912</v>
      </c>
      <c r="P129" s="14">
        <f t="shared" si="36"/>
        <v>5557.85547123638</v>
      </c>
      <c r="Q129" s="88">
        <f t="shared" si="36"/>
        <v>4820.583289667884</v>
      </c>
    </row>
    <row r="130" spans="1:17" ht="12.75">
      <c r="A130" s="11">
        <v>2012</v>
      </c>
      <c r="B130" s="299"/>
      <c r="C130" s="175"/>
      <c r="D130" s="80"/>
      <c r="E130" s="80"/>
      <c r="F130" s="80"/>
      <c r="G130" s="95"/>
      <c r="H130" s="80"/>
      <c r="I130" s="80"/>
      <c r="J130" s="80"/>
      <c r="K130" s="80"/>
      <c r="L130" s="176"/>
      <c r="M130" s="14">
        <f t="shared" si="36"/>
        <v>82177.58737599866</v>
      </c>
      <c r="N130" s="14">
        <f t="shared" si="36"/>
        <v>914089.034949397</v>
      </c>
      <c r="O130" s="14">
        <f t="shared" si="36"/>
        <v>62605.3836666606</v>
      </c>
      <c r="P130" s="14">
        <f t="shared" si="36"/>
        <v>5560.113578080987</v>
      </c>
      <c r="Q130" s="88">
        <f t="shared" si="36"/>
        <v>4840.045046749217</v>
      </c>
    </row>
    <row r="131" spans="1:17" ht="12.75">
      <c r="A131" s="11">
        <v>2013</v>
      </c>
      <c r="B131" s="299"/>
      <c r="C131" s="175"/>
      <c r="D131" s="80"/>
      <c r="E131" s="80"/>
      <c r="F131" s="80"/>
      <c r="G131" s="95"/>
      <c r="H131" s="80"/>
      <c r="I131" s="80"/>
      <c r="J131" s="80"/>
      <c r="K131" s="80"/>
      <c r="L131" s="176"/>
      <c r="M131" s="14">
        <f t="shared" si="36"/>
        <v>82049.95010243364</v>
      </c>
      <c r="N131" s="14">
        <f t="shared" si="36"/>
        <v>914174.9074093555</v>
      </c>
      <c r="O131" s="14">
        <f t="shared" si="36"/>
        <v>62315.325911229935</v>
      </c>
      <c r="P131" s="14">
        <f t="shared" si="36"/>
        <v>5561.736677595752</v>
      </c>
      <c r="Q131" s="88">
        <f t="shared" si="36"/>
        <v>4860.651742927749</v>
      </c>
    </row>
    <row r="132" spans="1:17" ht="12.75">
      <c r="A132" s="11">
        <v>2014</v>
      </c>
      <c r="B132" s="299"/>
      <c r="C132" s="175"/>
      <c r="D132" s="80"/>
      <c r="E132" s="80"/>
      <c r="F132" s="80"/>
      <c r="G132" s="95"/>
      <c r="H132" s="80"/>
      <c r="I132" s="80"/>
      <c r="J132" s="80"/>
      <c r="K132" s="80"/>
      <c r="L132" s="176"/>
      <c r="M132" s="14">
        <f t="shared" si="36"/>
        <v>81957.2589310653</v>
      </c>
      <c r="N132" s="14">
        <f t="shared" si="36"/>
        <v>914696.6162146867</v>
      </c>
      <c r="O132" s="14">
        <f t="shared" si="36"/>
        <v>62032.32586396889</v>
      </c>
      <c r="P132" s="14">
        <f t="shared" si="36"/>
        <v>5562.669489876771</v>
      </c>
      <c r="Q132" s="88">
        <f t="shared" si="36"/>
        <v>4882.318112475693</v>
      </c>
    </row>
    <row r="133" spans="1:17" ht="12.75">
      <c r="A133" s="11">
        <v>2015</v>
      </c>
      <c r="B133" s="299"/>
      <c r="C133" s="175"/>
      <c r="D133" s="80"/>
      <c r="E133" s="80"/>
      <c r="F133" s="80"/>
      <c r="G133" s="95"/>
      <c r="H133" s="80"/>
      <c r="I133" s="80"/>
      <c r="J133" s="80"/>
      <c r="K133" s="80"/>
      <c r="L133" s="176"/>
      <c r="M133" s="14">
        <f t="shared" si="36"/>
        <v>81897.79013779825</v>
      </c>
      <c r="N133" s="14">
        <f t="shared" si="36"/>
        <v>915633.7490578799</v>
      </c>
      <c r="O133" s="14">
        <f t="shared" si="36"/>
        <v>61755.469329066145</v>
      </c>
      <c r="P133" s="14">
        <f t="shared" si="36"/>
        <v>5562.856147708441</v>
      </c>
      <c r="Q133" s="88">
        <f t="shared" si="36"/>
        <v>4904.957030933776</v>
      </c>
    </row>
    <row r="134" spans="1:17" ht="12.75">
      <c r="A134" s="11">
        <v>2016</v>
      </c>
      <c r="B134" s="299"/>
      <c r="C134" s="175"/>
      <c r="D134" s="80"/>
      <c r="E134" s="80"/>
      <c r="F134" s="80"/>
      <c r="G134" s="95"/>
      <c r="H134" s="80"/>
      <c r="I134" s="80"/>
      <c r="J134" s="80"/>
      <c r="K134" s="80"/>
      <c r="L134" s="176"/>
      <c r="M134" s="14">
        <f t="shared" si="36"/>
        <v>83555.93189135876</v>
      </c>
      <c r="N134" s="14">
        <f t="shared" si="36"/>
        <v>934280.7754052278</v>
      </c>
      <c r="O134" s="14">
        <f t="shared" si="36"/>
        <v>63783.00255704218</v>
      </c>
      <c r="P134" s="14">
        <f t="shared" si="36"/>
        <v>5800.639087183049</v>
      </c>
      <c r="Q134" s="88">
        <f t="shared" si="36"/>
        <v>5083.230952972781</v>
      </c>
    </row>
    <row r="135" spans="1:17" ht="12.75">
      <c r="A135" s="11">
        <v>2017</v>
      </c>
      <c r="B135" s="299"/>
      <c r="C135" s="175"/>
      <c r="D135" s="80"/>
      <c r="E135" s="80"/>
      <c r="F135" s="80"/>
      <c r="G135" s="95"/>
      <c r="H135" s="80"/>
      <c r="I135" s="80"/>
      <c r="J135" s="80"/>
      <c r="K135" s="80"/>
      <c r="L135" s="176"/>
      <c r="M135" s="14">
        <f t="shared" si="36"/>
        <v>83846.52910419373</v>
      </c>
      <c r="N135" s="14">
        <f t="shared" si="36"/>
        <v>937191.6837920573</v>
      </c>
      <c r="O135" s="14">
        <f t="shared" si="36"/>
        <v>64074.27609655814</v>
      </c>
      <c r="P135" s="14">
        <f t="shared" si="36"/>
        <v>5835.213031051745</v>
      </c>
      <c r="Q135" s="88">
        <f t="shared" si="36"/>
        <v>5102.810672116985</v>
      </c>
    </row>
    <row r="136" spans="1:17" ht="12.75">
      <c r="A136" s="11">
        <v>2018</v>
      </c>
      <c r="B136" s="299"/>
      <c r="C136" s="175"/>
      <c r="D136" s="80"/>
      <c r="E136" s="80"/>
      <c r="F136" s="80"/>
      <c r="G136" s="95"/>
      <c r="H136" s="80"/>
      <c r="I136" s="80"/>
      <c r="J136" s="80"/>
      <c r="K136" s="80"/>
      <c r="L136" s="176"/>
      <c r="M136" s="14">
        <f t="shared" si="36"/>
        <v>84234.82809100063</v>
      </c>
      <c r="N136" s="14">
        <f t="shared" si="36"/>
        <v>941401.2900531242</v>
      </c>
      <c r="O136" s="14">
        <f t="shared" si="36"/>
        <v>64761.52716167146</v>
      </c>
      <c r="P136" s="14">
        <f t="shared" si="36"/>
        <v>5927.103467177383</v>
      </c>
      <c r="Q136" s="88">
        <f t="shared" si="36"/>
        <v>5163.499068410167</v>
      </c>
    </row>
    <row r="137" spans="1:17" ht="12.75">
      <c r="A137" s="11">
        <v>2019</v>
      </c>
      <c r="B137" s="299"/>
      <c r="C137" s="175"/>
      <c r="D137" s="80"/>
      <c r="E137" s="80"/>
      <c r="F137" s="80"/>
      <c r="G137" s="95"/>
      <c r="H137" s="80"/>
      <c r="I137" s="80"/>
      <c r="J137" s="80"/>
      <c r="K137" s="80"/>
      <c r="L137" s="176"/>
      <c r="M137" s="14">
        <f aca="true" t="shared" si="37" ref="M137:Q138">M121/1000000</f>
        <v>84508.21784069955</v>
      </c>
      <c r="N137" s="14">
        <f t="shared" si="37"/>
        <v>944136.6040474885</v>
      </c>
      <c r="O137" s="14">
        <f t="shared" si="37"/>
        <v>65040.489266876044</v>
      </c>
      <c r="P137" s="14">
        <f t="shared" si="37"/>
        <v>5960.84550347825</v>
      </c>
      <c r="Q137" s="88">
        <f t="shared" si="37"/>
        <v>5182.536226364954</v>
      </c>
    </row>
    <row r="138" spans="1:17" ht="13.5" thickBot="1">
      <c r="A138" s="172">
        <v>2020</v>
      </c>
      <c r="B138" s="300"/>
      <c r="C138" s="177"/>
      <c r="D138" s="91"/>
      <c r="E138" s="91"/>
      <c r="F138" s="91"/>
      <c r="G138" s="96"/>
      <c r="H138" s="91"/>
      <c r="I138" s="91"/>
      <c r="J138" s="91"/>
      <c r="K138" s="91"/>
      <c r="L138" s="178"/>
      <c r="M138" s="92">
        <f t="shared" si="37"/>
        <v>84775.27192063129</v>
      </c>
      <c r="N138" s="92">
        <f t="shared" si="37"/>
        <v>946807.6497131758</v>
      </c>
      <c r="O138" s="92">
        <f t="shared" si="37"/>
        <v>65307.59541982371</v>
      </c>
      <c r="P138" s="92">
        <f t="shared" si="37"/>
        <v>5993.1468270820305</v>
      </c>
      <c r="Q138" s="93">
        <f t="shared" si="37"/>
        <v>5200.676524804043</v>
      </c>
    </row>
    <row r="156" ht="12.75">
      <c r="F156" s="12"/>
    </row>
  </sheetData>
  <mergeCells count="11">
    <mergeCell ref="R24:R25"/>
    <mergeCell ref="A21:A22"/>
    <mergeCell ref="B21:B22"/>
    <mergeCell ref="B74:B89"/>
    <mergeCell ref="B90:B105"/>
    <mergeCell ref="B107:B122"/>
    <mergeCell ref="B123:B138"/>
    <mergeCell ref="H24:L24"/>
    <mergeCell ref="B26:B41"/>
    <mergeCell ref="B42:B57"/>
    <mergeCell ref="B58:B7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9.421875" style="0" customWidth="1"/>
    <col min="3" max="3" width="16.00390625" style="0" customWidth="1"/>
    <col min="4" max="4" width="16.00390625" style="29" customWidth="1"/>
    <col min="5" max="5" width="16.00390625" style="27" customWidth="1"/>
    <col min="6" max="10" width="10.421875" style="0" customWidth="1"/>
    <col min="11" max="15" width="13.421875" style="0" customWidth="1"/>
    <col min="16" max="16" width="17.8515625" style="0" customWidth="1"/>
    <col min="18" max="18" width="12.7109375" style="0" bestFit="1" customWidth="1"/>
  </cols>
  <sheetData>
    <row r="1" spans="2:3" ht="13.5" thickBot="1">
      <c r="B1" s="160" t="s">
        <v>67</v>
      </c>
      <c r="C1" s="115"/>
    </row>
    <row r="2" spans="2:10" ht="12.75">
      <c r="B2" s="1" t="s">
        <v>12</v>
      </c>
      <c r="C2" s="2">
        <v>17500000</v>
      </c>
      <c r="G2" s="26"/>
      <c r="H2" s="26"/>
      <c r="I2" s="26"/>
      <c r="J2" s="26"/>
    </row>
    <row r="3" spans="2:10" ht="12.75">
      <c r="B3" s="3" t="s">
        <v>13</v>
      </c>
      <c r="C3" s="211">
        <v>0.015</v>
      </c>
      <c r="G3" s="26"/>
      <c r="H3" s="26"/>
      <c r="I3" s="26"/>
      <c r="J3" s="26"/>
    </row>
    <row r="4" spans="2:18" ht="12.75">
      <c r="B4" s="3" t="s">
        <v>54</v>
      </c>
      <c r="C4" s="18">
        <v>8550000000</v>
      </c>
      <c r="D4" s="30"/>
      <c r="G4" s="9"/>
      <c r="H4" s="9"/>
      <c r="I4" s="9"/>
      <c r="J4" s="9"/>
      <c r="K4" s="4"/>
      <c r="L4" s="4"/>
      <c r="M4" s="4"/>
      <c r="N4" s="4"/>
      <c r="O4" s="4"/>
      <c r="P4" s="4"/>
      <c r="Q4" s="4"/>
      <c r="R4" s="4"/>
    </row>
    <row r="5" spans="2:18" ht="12.75">
      <c r="B5" s="11" t="s">
        <v>55</v>
      </c>
      <c r="C5" s="212">
        <v>0.01</v>
      </c>
      <c r="D5" s="30"/>
      <c r="F5" s="9"/>
      <c r="G5" s="9"/>
      <c r="H5" s="9"/>
      <c r="I5" s="9"/>
      <c r="J5" s="9"/>
      <c r="K5" s="4"/>
      <c r="L5" s="4"/>
      <c r="M5" s="4"/>
      <c r="N5" s="4"/>
      <c r="O5" s="4"/>
      <c r="P5" s="4"/>
      <c r="Q5" s="4"/>
      <c r="R5" s="4"/>
    </row>
    <row r="6" spans="2:18" ht="12.75">
      <c r="B6" s="11" t="s">
        <v>64</v>
      </c>
      <c r="C6" s="169">
        <v>1.05</v>
      </c>
      <c r="D6" s="30"/>
      <c r="F6" s="9"/>
      <c r="G6" s="9"/>
      <c r="H6" s="9"/>
      <c r="I6" s="9"/>
      <c r="J6" s="9"/>
      <c r="K6" s="4"/>
      <c r="L6" s="4"/>
      <c r="M6" s="4"/>
      <c r="N6" s="4"/>
      <c r="O6" s="4"/>
      <c r="P6" s="4"/>
      <c r="Q6" s="4"/>
      <c r="R6" s="4"/>
    </row>
    <row r="7" spans="2:18" ht="12.75">
      <c r="B7" s="11" t="s">
        <v>65</v>
      </c>
      <c r="C7" s="169">
        <v>0.95</v>
      </c>
      <c r="D7" s="30"/>
      <c r="F7" s="9"/>
      <c r="G7" s="9"/>
      <c r="H7" s="9"/>
      <c r="I7" s="9"/>
      <c r="J7" s="9"/>
      <c r="K7" s="4"/>
      <c r="L7" s="4"/>
      <c r="M7" s="4"/>
      <c r="N7" s="4"/>
      <c r="O7" s="4"/>
      <c r="P7" s="4"/>
      <c r="Q7" s="4"/>
      <c r="R7" s="4"/>
    </row>
    <row r="8" spans="2:18" ht="13.5" thickBot="1">
      <c r="B8" s="172" t="s">
        <v>66</v>
      </c>
      <c r="C8" s="170">
        <v>0.98</v>
      </c>
      <c r="D8" s="30"/>
      <c r="F8" s="9"/>
      <c r="G8" s="9"/>
      <c r="H8" s="9"/>
      <c r="I8" s="9"/>
      <c r="J8" s="9"/>
      <c r="K8" s="4"/>
      <c r="L8" s="4"/>
      <c r="M8" s="4"/>
      <c r="N8" s="4"/>
      <c r="O8" s="4"/>
      <c r="P8" s="4"/>
      <c r="Q8" s="4"/>
      <c r="R8" s="4"/>
    </row>
    <row r="9" spans="2:18" ht="12.75">
      <c r="B9" s="4"/>
      <c r="C9" s="6"/>
      <c r="D9" s="30"/>
      <c r="F9" s="9"/>
      <c r="G9" s="9"/>
      <c r="H9" s="9"/>
      <c r="I9" s="9"/>
      <c r="J9" s="9"/>
      <c r="K9" s="4"/>
      <c r="L9" s="4"/>
      <c r="M9" s="4"/>
      <c r="N9" s="4"/>
      <c r="O9" s="4"/>
      <c r="P9" s="4"/>
      <c r="Q9" s="4"/>
      <c r="R9" s="4"/>
    </row>
    <row r="10" spans="2:18" ht="13.5" thickBot="1">
      <c r="B10" s="4"/>
      <c r="C10" s="4"/>
      <c r="D10" s="30"/>
      <c r="E10" s="28"/>
      <c r="F10" s="9"/>
      <c r="G10" s="9"/>
      <c r="H10" s="9"/>
      <c r="I10" s="9"/>
      <c r="J10" s="9"/>
      <c r="K10" s="4"/>
      <c r="L10" s="4"/>
      <c r="M10" s="4"/>
      <c r="N10" s="4"/>
      <c r="O10" s="4"/>
      <c r="P10" s="4"/>
      <c r="Q10" s="4"/>
      <c r="R10" s="4"/>
    </row>
    <row r="11" spans="1:18" ht="12.75">
      <c r="A11" s="158" t="s">
        <v>15</v>
      </c>
      <c r="B11" s="158" t="s">
        <v>63</v>
      </c>
      <c r="C11" s="158" t="s">
        <v>11</v>
      </c>
      <c r="D11" s="213" t="s">
        <v>37</v>
      </c>
      <c r="E11" s="155" t="s">
        <v>14</v>
      </c>
      <c r="F11" s="319" t="s">
        <v>68</v>
      </c>
      <c r="G11" s="320"/>
      <c r="H11" s="320"/>
      <c r="I11" s="320"/>
      <c r="J11" s="321"/>
      <c r="K11" s="193" t="s">
        <v>73</v>
      </c>
      <c r="L11" s="194"/>
      <c r="M11" s="194"/>
      <c r="N11" s="194"/>
      <c r="O11" s="195"/>
      <c r="P11" s="307" t="s">
        <v>74</v>
      </c>
      <c r="Q11" s="4"/>
      <c r="R11" s="325" t="s">
        <v>75</v>
      </c>
    </row>
    <row r="12" spans="1:18" ht="13.5" thickBot="1">
      <c r="A12" s="158"/>
      <c r="B12" s="158"/>
      <c r="C12" s="158"/>
      <c r="D12" s="213"/>
      <c r="E12" s="158"/>
      <c r="F12" s="225" t="s">
        <v>1</v>
      </c>
      <c r="G12" s="214" t="s">
        <v>2</v>
      </c>
      <c r="H12" s="214" t="s">
        <v>3</v>
      </c>
      <c r="I12" s="214" t="s">
        <v>4</v>
      </c>
      <c r="J12" s="226" t="s">
        <v>5</v>
      </c>
      <c r="K12" s="179" t="s">
        <v>1</v>
      </c>
      <c r="L12" s="158" t="s">
        <v>2</v>
      </c>
      <c r="M12" s="158" t="s">
        <v>3</v>
      </c>
      <c r="N12" s="158" t="s">
        <v>4</v>
      </c>
      <c r="O12" s="180" t="s">
        <v>5</v>
      </c>
      <c r="P12" s="308"/>
      <c r="Q12" s="4"/>
      <c r="R12" s="326"/>
    </row>
    <row r="13" spans="1:20" ht="12.75">
      <c r="A13" s="67">
        <v>2005</v>
      </c>
      <c r="B13" s="322" t="s">
        <v>56</v>
      </c>
      <c r="C13" s="101">
        <f>$C$2</f>
        <v>17500000</v>
      </c>
      <c r="D13" s="68">
        <v>0.25</v>
      </c>
      <c r="E13" s="97">
        <f aca="true" t="shared" si="0" ref="E13:E44">R13*D13</f>
        <v>2137500000</v>
      </c>
      <c r="F13" s="227">
        <v>0.273</v>
      </c>
      <c r="G13" s="68">
        <v>3.28</v>
      </c>
      <c r="H13" s="68">
        <v>0.392</v>
      </c>
      <c r="I13" s="68">
        <v>0.049</v>
      </c>
      <c r="J13" s="228">
        <v>0.0275</v>
      </c>
      <c r="K13" s="229">
        <f>F13*$E13</f>
        <v>583537500</v>
      </c>
      <c r="L13" s="67">
        <f>G13*$E13</f>
        <v>7011000000</v>
      </c>
      <c r="M13" s="67">
        <f>H13*$E13</f>
        <v>837900000</v>
      </c>
      <c r="N13" s="67">
        <f>I13*$E13</f>
        <v>104737500</v>
      </c>
      <c r="O13" s="228">
        <f>J13*$E13</f>
        <v>58781250</v>
      </c>
      <c r="P13" s="67"/>
      <c r="Q13" s="4"/>
      <c r="R13" s="215">
        <f>$C$4</f>
        <v>8550000000</v>
      </c>
      <c r="T13" s="29"/>
    </row>
    <row r="14" spans="1:20" ht="12.75">
      <c r="A14" s="67">
        <v>2006</v>
      </c>
      <c r="B14" s="322"/>
      <c r="C14" s="101">
        <f>C13*(1+$C$3)</f>
        <v>17762500</v>
      </c>
      <c r="D14" s="68">
        <f>D13-1/3*((D62-D61)+(D78-D77))</f>
        <v>0.25066666666666665</v>
      </c>
      <c r="E14" s="97">
        <f t="shared" si="0"/>
        <v>2164632000</v>
      </c>
      <c r="F14" s="229">
        <f>F13*$P14</f>
        <v>0.273</v>
      </c>
      <c r="G14" s="67">
        <f aca="true" t="shared" si="1" ref="G14:G28">G13*$P14</f>
        <v>3.28</v>
      </c>
      <c r="H14" s="67">
        <f aca="true" t="shared" si="2" ref="H14:H28">H13*$P14</f>
        <v>0.392</v>
      </c>
      <c r="I14" s="67">
        <f aca="true" t="shared" si="3" ref="I14:I28">I13*$P14</f>
        <v>0.049</v>
      </c>
      <c r="J14" s="228">
        <f aca="true" t="shared" si="4" ref="J14:J28">J13*$P14</f>
        <v>0.0275</v>
      </c>
      <c r="K14" s="229">
        <f aca="true" t="shared" si="5" ref="K14:K29">F14*$E14</f>
        <v>590944536</v>
      </c>
      <c r="L14" s="67">
        <f aca="true" t="shared" si="6" ref="L14:L29">G14*$E14</f>
        <v>7099992960</v>
      </c>
      <c r="M14" s="67">
        <f aca="true" t="shared" si="7" ref="M14:M29">H14*$E14</f>
        <v>848535744</v>
      </c>
      <c r="N14" s="67">
        <f aca="true" t="shared" si="8" ref="N14:N29">I14*$E14</f>
        <v>106066968</v>
      </c>
      <c r="O14" s="228">
        <f aca="true" t="shared" si="9" ref="O14:O29">J14*$E14</f>
        <v>59527380</v>
      </c>
      <c r="P14" s="67">
        <v>1</v>
      </c>
      <c r="Q14" s="4"/>
      <c r="R14" s="216">
        <f>R13*(1+$C$5)</f>
        <v>8635500000</v>
      </c>
      <c r="T14" s="29"/>
    </row>
    <row r="15" spans="1:20" ht="12.75">
      <c r="A15" s="67">
        <v>2007</v>
      </c>
      <c r="B15" s="322"/>
      <c r="C15" s="101">
        <f aca="true" t="shared" si="10" ref="C15:C28">C14*(1+$C$3)</f>
        <v>18028937.5</v>
      </c>
      <c r="D15" s="68">
        <f aca="true" t="shared" si="11" ref="D15:D28">D14-1/3*((D63-D62)+(D79-D78))</f>
        <v>0.2512833333333333</v>
      </c>
      <c r="E15" s="97">
        <f t="shared" si="0"/>
        <v>2191656797.2499995</v>
      </c>
      <c r="F15" s="229">
        <f aca="true" t="shared" si="12" ref="F15:F28">F14*$P15</f>
        <v>0.273</v>
      </c>
      <c r="G15" s="67">
        <f t="shared" si="1"/>
        <v>3.28</v>
      </c>
      <c r="H15" s="67">
        <f t="shared" si="2"/>
        <v>0.392</v>
      </c>
      <c r="I15" s="67">
        <f t="shared" si="3"/>
        <v>0.049</v>
      </c>
      <c r="J15" s="228">
        <f t="shared" si="4"/>
        <v>0.0275</v>
      </c>
      <c r="K15" s="229">
        <f t="shared" si="5"/>
        <v>598322305.6492499</v>
      </c>
      <c r="L15" s="67">
        <f t="shared" si="6"/>
        <v>7188634294.979998</v>
      </c>
      <c r="M15" s="67">
        <f t="shared" si="7"/>
        <v>859129464.5219998</v>
      </c>
      <c r="N15" s="67">
        <f t="shared" si="8"/>
        <v>107391183.06524998</v>
      </c>
      <c r="O15" s="228">
        <f t="shared" si="9"/>
        <v>60270561.92437499</v>
      </c>
      <c r="P15" s="67">
        <v>1</v>
      </c>
      <c r="Q15" s="4"/>
      <c r="R15" s="216">
        <f aca="true" t="shared" si="13" ref="R15:R28">R14*(1+$C$5)</f>
        <v>8721855000</v>
      </c>
      <c r="T15" s="29"/>
    </row>
    <row r="16" spans="1:20" ht="12.75">
      <c r="A16" s="67">
        <v>2008</v>
      </c>
      <c r="B16" s="322"/>
      <c r="C16" s="101">
        <f t="shared" si="10"/>
        <v>18299371.5625</v>
      </c>
      <c r="D16" s="68">
        <f t="shared" si="11"/>
        <v>0.25185166666666664</v>
      </c>
      <c r="E16" s="97">
        <f t="shared" si="0"/>
        <v>2218579855.3567495</v>
      </c>
      <c r="F16" s="229">
        <f t="shared" si="12"/>
        <v>0.273</v>
      </c>
      <c r="G16" s="67">
        <f t="shared" si="1"/>
        <v>3.28</v>
      </c>
      <c r="H16" s="67">
        <f t="shared" si="2"/>
        <v>0.392</v>
      </c>
      <c r="I16" s="67">
        <f t="shared" si="3"/>
        <v>0.049</v>
      </c>
      <c r="J16" s="228">
        <f t="shared" si="4"/>
        <v>0.0275</v>
      </c>
      <c r="K16" s="229">
        <f t="shared" si="5"/>
        <v>605672300.5123926</v>
      </c>
      <c r="L16" s="67">
        <f t="shared" si="6"/>
        <v>7276941925.570138</v>
      </c>
      <c r="M16" s="67">
        <f t="shared" si="7"/>
        <v>869683303.2998458</v>
      </c>
      <c r="N16" s="67">
        <f t="shared" si="8"/>
        <v>108710412.91248073</v>
      </c>
      <c r="O16" s="228">
        <f t="shared" si="9"/>
        <v>61010946.022310615</v>
      </c>
      <c r="P16" s="67">
        <v>1</v>
      </c>
      <c r="Q16" s="4"/>
      <c r="R16" s="216">
        <f t="shared" si="13"/>
        <v>8809073550</v>
      </c>
      <c r="T16" s="29"/>
    </row>
    <row r="17" spans="1:20" ht="12.75">
      <c r="A17" s="67">
        <v>2009</v>
      </c>
      <c r="B17" s="322"/>
      <c r="C17" s="101">
        <f t="shared" si="10"/>
        <v>18573862.135937497</v>
      </c>
      <c r="D17" s="68">
        <f t="shared" si="11"/>
        <v>0.2523732083333333</v>
      </c>
      <c r="E17" s="97">
        <f t="shared" si="0"/>
        <v>2245405895.800384</v>
      </c>
      <c r="F17" s="229">
        <f t="shared" si="12"/>
        <v>0.273</v>
      </c>
      <c r="G17" s="67">
        <f t="shared" si="1"/>
        <v>3.28</v>
      </c>
      <c r="H17" s="67">
        <f t="shared" si="2"/>
        <v>0.392</v>
      </c>
      <c r="I17" s="67">
        <f t="shared" si="3"/>
        <v>0.049</v>
      </c>
      <c r="J17" s="228">
        <f t="shared" si="4"/>
        <v>0.0275</v>
      </c>
      <c r="K17" s="229">
        <f t="shared" si="5"/>
        <v>612995809.553505</v>
      </c>
      <c r="L17" s="67">
        <f t="shared" si="6"/>
        <v>7364931338.225259</v>
      </c>
      <c r="M17" s="67">
        <f t="shared" si="7"/>
        <v>880199111.1537505</v>
      </c>
      <c r="N17" s="67">
        <f t="shared" si="8"/>
        <v>110024888.89421882</v>
      </c>
      <c r="O17" s="228">
        <f t="shared" si="9"/>
        <v>61748662.13451056</v>
      </c>
      <c r="P17" s="67">
        <v>1</v>
      </c>
      <c r="Q17" s="4"/>
      <c r="R17" s="216">
        <f t="shared" si="13"/>
        <v>8897164285.5</v>
      </c>
      <c r="T17" s="29"/>
    </row>
    <row r="18" spans="1:20" ht="12.75">
      <c r="A18" s="67">
        <v>2010</v>
      </c>
      <c r="B18" s="322"/>
      <c r="C18" s="101">
        <f t="shared" si="10"/>
        <v>18852470.067976557</v>
      </c>
      <c r="D18" s="68">
        <f t="shared" si="11"/>
        <v>0.25284937916666667</v>
      </c>
      <c r="E18" s="97">
        <f t="shared" si="0"/>
        <v>2272138890.5918393</v>
      </c>
      <c r="F18" s="229">
        <f t="shared" si="12"/>
        <v>0.273</v>
      </c>
      <c r="G18" s="67">
        <f t="shared" si="1"/>
        <v>3.28</v>
      </c>
      <c r="H18" s="67">
        <f t="shared" si="2"/>
        <v>0.392</v>
      </c>
      <c r="I18" s="67">
        <f t="shared" si="3"/>
        <v>0.049</v>
      </c>
      <c r="J18" s="228">
        <f t="shared" si="4"/>
        <v>0.0275</v>
      </c>
      <c r="K18" s="229">
        <f t="shared" si="5"/>
        <v>620293917.1315721</v>
      </c>
      <c r="L18" s="67">
        <f t="shared" si="6"/>
        <v>7452615561.1412325</v>
      </c>
      <c r="M18" s="67">
        <f t="shared" si="7"/>
        <v>890678445.1120011</v>
      </c>
      <c r="N18" s="67">
        <f t="shared" si="8"/>
        <v>111334805.63900013</v>
      </c>
      <c r="O18" s="228">
        <f t="shared" si="9"/>
        <v>62483819.49127558</v>
      </c>
      <c r="P18" s="67">
        <v>1</v>
      </c>
      <c r="Q18" s="4"/>
      <c r="R18" s="216">
        <f t="shared" si="13"/>
        <v>8986135928.355</v>
      </c>
      <c r="T18" s="29"/>
    </row>
    <row r="19" spans="1:20" ht="12.75">
      <c r="A19" s="67">
        <v>2011</v>
      </c>
      <c r="B19" s="322"/>
      <c r="C19" s="101">
        <f t="shared" si="10"/>
        <v>19135257.118996203</v>
      </c>
      <c r="D19" s="68">
        <f t="shared" si="11"/>
        <v>0.2532814830208333</v>
      </c>
      <c r="E19" s="97">
        <f t="shared" si="0"/>
        <v>2298782052.9061527</v>
      </c>
      <c r="F19" s="229">
        <f t="shared" si="12"/>
        <v>0.273</v>
      </c>
      <c r="G19" s="67">
        <f t="shared" si="1"/>
        <v>3.28</v>
      </c>
      <c r="H19" s="67">
        <f t="shared" si="2"/>
        <v>0.392</v>
      </c>
      <c r="I19" s="67">
        <f t="shared" si="3"/>
        <v>0.049</v>
      </c>
      <c r="J19" s="228">
        <f t="shared" si="4"/>
        <v>0.0275</v>
      </c>
      <c r="K19" s="229">
        <f t="shared" si="5"/>
        <v>627567500.4433798</v>
      </c>
      <c r="L19" s="67">
        <f t="shared" si="6"/>
        <v>7540005133.532181</v>
      </c>
      <c r="M19" s="67">
        <f t="shared" si="7"/>
        <v>901122564.7392119</v>
      </c>
      <c r="N19" s="67">
        <f t="shared" si="8"/>
        <v>112640320.59240149</v>
      </c>
      <c r="O19" s="228">
        <f t="shared" si="9"/>
        <v>63216506.4549192</v>
      </c>
      <c r="P19" s="67">
        <v>1</v>
      </c>
      <c r="Q19" s="4"/>
      <c r="R19" s="216">
        <f t="shared" si="13"/>
        <v>9075997287.63855</v>
      </c>
      <c r="T19" s="29"/>
    </row>
    <row r="20" spans="1:20" ht="12.75">
      <c r="A20" s="67">
        <v>2012</v>
      </c>
      <c r="B20" s="322"/>
      <c r="C20" s="101">
        <f t="shared" si="10"/>
        <v>19422285.975781143</v>
      </c>
      <c r="D20" s="68">
        <f t="shared" si="11"/>
        <v>0.25367071032291666</v>
      </c>
      <c r="E20" s="97">
        <f t="shared" si="0"/>
        <v>2325337825.632577</v>
      </c>
      <c r="F20" s="229">
        <f t="shared" si="12"/>
        <v>0.273</v>
      </c>
      <c r="G20" s="67">
        <f t="shared" si="1"/>
        <v>3.28</v>
      </c>
      <c r="H20" s="67">
        <f t="shared" si="2"/>
        <v>0.392</v>
      </c>
      <c r="I20" s="67">
        <f t="shared" si="3"/>
        <v>0.049</v>
      </c>
      <c r="J20" s="228">
        <f t="shared" si="4"/>
        <v>0.0275</v>
      </c>
      <c r="K20" s="229">
        <f t="shared" si="5"/>
        <v>634817226.3976935</v>
      </c>
      <c r="L20" s="67">
        <f t="shared" si="6"/>
        <v>7627108068.074852</v>
      </c>
      <c r="M20" s="67">
        <f t="shared" si="7"/>
        <v>911532427.6479702</v>
      </c>
      <c r="N20" s="67">
        <f t="shared" si="8"/>
        <v>113941553.45599627</v>
      </c>
      <c r="O20" s="228">
        <f t="shared" si="9"/>
        <v>63946790.20489587</v>
      </c>
      <c r="P20" s="67">
        <v>1</v>
      </c>
      <c r="Q20" s="4"/>
      <c r="R20" s="216">
        <f t="shared" si="13"/>
        <v>9166757260.514935</v>
      </c>
      <c r="T20" s="29"/>
    </row>
    <row r="21" spans="1:20" ht="12.75">
      <c r="A21" s="67">
        <v>2013</v>
      </c>
      <c r="B21" s="322"/>
      <c r="C21" s="101">
        <f t="shared" si="10"/>
        <v>19713620.26541786</v>
      </c>
      <c r="D21" s="68">
        <f t="shared" si="11"/>
        <v>0.25401814133255207</v>
      </c>
      <c r="E21" s="97">
        <f t="shared" si="0"/>
        <v>2351807867.7763076</v>
      </c>
      <c r="F21" s="229">
        <f t="shared" si="12"/>
        <v>0.273</v>
      </c>
      <c r="G21" s="67">
        <f t="shared" si="1"/>
        <v>3.28</v>
      </c>
      <c r="H21" s="67">
        <f t="shared" si="2"/>
        <v>0.392</v>
      </c>
      <c r="I21" s="67">
        <f t="shared" si="3"/>
        <v>0.049</v>
      </c>
      <c r="J21" s="228">
        <f t="shared" si="4"/>
        <v>0.0275</v>
      </c>
      <c r="K21" s="229">
        <f t="shared" si="5"/>
        <v>642043547.902932</v>
      </c>
      <c r="L21" s="67">
        <f t="shared" si="6"/>
        <v>7713929806.306289</v>
      </c>
      <c r="M21" s="67">
        <f t="shared" si="7"/>
        <v>921908684.1683125</v>
      </c>
      <c r="N21" s="67">
        <f t="shared" si="8"/>
        <v>115238585.52103907</v>
      </c>
      <c r="O21" s="228">
        <f t="shared" si="9"/>
        <v>64674716.363848455</v>
      </c>
      <c r="P21" s="67">
        <v>1</v>
      </c>
      <c r="Q21" s="4"/>
      <c r="R21" s="216">
        <f t="shared" si="13"/>
        <v>9258424833.120085</v>
      </c>
      <c r="T21" s="29"/>
    </row>
    <row r="22" spans="1:20" ht="12.75">
      <c r="A22" s="67">
        <v>2014</v>
      </c>
      <c r="B22" s="322"/>
      <c r="C22" s="101">
        <f t="shared" si="10"/>
        <v>20009324.569399126</v>
      </c>
      <c r="D22" s="68">
        <f t="shared" si="11"/>
        <v>0.2543247491179948</v>
      </c>
      <c r="E22" s="97">
        <f t="shared" si="0"/>
        <v>2378193038.640189</v>
      </c>
      <c r="F22" s="229">
        <f t="shared" si="12"/>
        <v>0.273</v>
      </c>
      <c r="G22" s="67">
        <f t="shared" si="1"/>
        <v>3.28</v>
      </c>
      <c r="H22" s="67">
        <f t="shared" si="2"/>
        <v>0.392</v>
      </c>
      <c r="I22" s="67">
        <f t="shared" si="3"/>
        <v>0.049</v>
      </c>
      <c r="J22" s="228">
        <f t="shared" si="4"/>
        <v>0.0275</v>
      </c>
      <c r="K22" s="229">
        <f t="shared" si="5"/>
        <v>649246699.5487717</v>
      </c>
      <c r="L22" s="67">
        <f t="shared" si="6"/>
        <v>7800473166.7398205</v>
      </c>
      <c r="M22" s="67">
        <f t="shared" si="7"/>
        <v>932251671.1469542</v>
      </c>
      <c r="N22" s="67">
        <f t="shared" si="8"/>
        <v>116531458.89336927</v>
      </c>
      <c r="O22" s="228">
        <f t="shared" si="9"/>
        <v>65400308.5626052</v>
      </c>
      <c r="P22" s="67">
        <v>1</v>
      </c>
      <c r="Q22" s="4"/>
      <c r="R22" s="216">
        <f t="shared" si="13"/>
        <v>9351009081.451286</v>
      </c>
      <c r="T22" s="29"/>
    </row>
    <row r="23" spans="1:20" ht="12.75">
      <c r="A23" s="67">
        <v>2015</v>
      </c>
      <c r="B23" s="322"/>
      <c r="C23" s="101">
        <f t="shared" si="10"/>
        <v>20309464.43794011</v>
      </c>
      <c r="D23" s="68">
        <f t="shared" si="11"/>
        <v>0.2545914022567689</v>
      </c>
      <c r="E23" s="97">
        <f t="shared" si="0"/>
        <v>2404493379.708088</v>
      </c>
      <c r="F23" s="229">
        <f t="shared" si="12"/>
        <v>0.273</v>
      </c>
      <c r="G23" s="67">
        <f t="shared" si="1"/>
        <v>3.28</v>
      </c>
      <c r="H23" s="67">
        <f t="shared" si="2"/>
        <v>0.392</v>
      </c>
      <c r="I23" s="67">
        <f t="shared" si="3"/>
        <v>0.049</v>
      </c>
      <c r="J23" s="228">
        <f t="shared" si="4"/>
        <v>0.0275</v>
      </c>
      <c r="K23" s="229">
        <f t="shared" si="5"/>
        <v>656426692.660308</v>
      </c>
      <c r="L23" s="67">
        <f t="shared" si="6"/>
        <v>7886738285.442528</v>
      </c>
      <c r="M23" s="67">
        <f t="shared" si="7"/>
        <v>942561404.8455704</v>
      </c>
      <c r="N23" s="67">
        <f t="shared" si="8"/>
        <v>117820175.6056963</v>
      </c>
      <c r="O23" s="228">
        <f t="shared" si="9"/>
        <v>66123567.94197242</v>
      </c>
      <c r="P23" s="67">
        <v>1</v>
      </c>
      <c r="Q23" s="4"/>
      <c r="R23" s="216">
        <f t="shared" si="13"/>
        <v>9444519172.265799</v>
      </c>
      <c r="T23" s="29"/>
    </row>
    <row r="24" spans="1:20" ht="12.75">
      <c r="A24" s="67">
        <v>2016</v>
      </c>
      <c r="B24" s="322"/>
      <c r="C24" s="101">
        <f t="shared" si="10"/>
        <v>20614106.40450921</v>
      </c>
      <c r="D24" s="68">
        <f t="shared" si="11"/>
        <v>0.25451949879871877</v>
      </c>
      <c r="E24" s="97">
        <f t="shared" si="0"/>
        <v>2427852428.981181</v>
      </c>
      <c r="F24" s="229">
        <f t="shared" si="12"/>
        <v>0.273</v>
      </c>
      <c r="G24" s="67">
        <f t="shared" si="1"/>
        <v>3.28</v>
      </c>
      <c r="H24" s="67">
        <f t="shared" si="2"/>
        <v>0.392</v>
      </c>
      <c r="I24" s="67">
        <f t="shared" si="3"/>
        <v>0.049</v>
      </c>
      <c r="J24" s="228">
        <f t="shared" si="4"/>
        <v>0.0275</v>
      </c>
      <c r="K24" s="229">
        <f t="shared" si="5"/>
        <v>662803713.1118625</v>
      </c>
      <c r="L24" s="67">
        <f t="shared" si="6"/>
        <v>7963355967.058273</v>
      </c>
      <c r="M24" s="67">
        <f t="shared" si="7"/>
        <v>951718152.1606231</v>
      </c>
      <c r="N24" s="67">
        <f t="shared" si="8"/>
        <v>118964769.02007788</v>
      </c>
      <c r="O24" s="228">
        <f t="shared" si="9"/>
        <v>66765941.79698248</v>
      </c>
      <c r="P24" s="67">
        <v>1</v>
      </c>
      <c r="Q24" s="4"/>
      <c r="R24" s="216">
        <f t="shared" si="13"/>
        <v>9538964363.988457</v>
      </c>
      <c r="T24" s="29"/>
    </row>
    <row r="25" spans="1:20" ht="12.75">
      <c r="A25" s="67">
        <v>2017</v>
      </c>
      <c r="B25" s="322"/>
      <c r="C25" s="101">
        <f t="shared" si="10"/>
        <v>20923318.000576846</v>
      </c>
      <c r="D25" s="68">
        <f t="shared" si="11"/>
        <v>0.25443002963918393</v>
      </c>
      <c r="E25" s="97">
        <f t="shared" si="0"/>
        <v>2451268975.7152696</v>
      </c>
      <c r="F25" s="229">
        <f t="shared" si="12"/>
        <v>0.273</v>
      </c>
      <c r="G25" s="67">
        <f t="shared" si="1"/>
        <v>3.28</v>
      </c>
      <c r="H25" s="67">
        <f t="shared" si="2"/>
        <v>0.392</v>
      </c>
      <c r="I25" s="67">
        <f t="shared" si="3"/>
        <v>0.049</v>
      </c>
      <c r="J25" s="228">
        <f t="shared" si="4"/>
        <v>0.0275</v>
      </c>
      <c r="K25" s="229">
        <f t="shared" si="5"/>
        <v>669196430.3702686</v>
      </c>
      <c r="L25" s="67">
        <f t="shared" si="6"/>
        <v>8040162240.346084</v>
      </c>
      <c r="M25" s="67">
        <f t="shared" si="7"/>
        <v>960897438.4803857</v>
      </c>
      <c r="N25" s="67">
        <f t="shared" si="8"/>
        <v>120112179.81004821</v>
      </c>
      <c r="O25" s="228">
        <f t="shared" si="9"/>
        <v>67409896.83216992</v>
      </c>
      <c r="P25" s="67">
        <v>1</v>
      </c>
      <c r="Q25" s="4"/>
      <c r="R25" s="216">
        <f t="shared" si="13"/>
        <v>9634354007.628342</v>
      </c>
      <c r="T25" s="29"/>
    </row>
    <row r="26" spans="1:20" ht="12.75">
      <c r="A26" s="67">
        <v>2018</v>
      </c>
      <c r="B26" s="322"/>
      <c r="C26" s="101">
        <f t="shared" si="10"/>
        <v>21237167.770585496</v>
      </c>
      <c r="D26" s="68">
        <f t="shared" si="11"/>
        <v>0.25432239590366174</v>
      </c>
      <c r="E26" s="97">
        <f t="shared" si="0"/>
        <v>2474734314.1461263</v>
      </c>
      <c r="F26" s="229">
        <f t="shared" si="12"/>
        <v>0.273</v>
      </c>
      <c r="G26" s="67">
        <f t="shared" si="1"/>
        <v>3.28</v>
      </c>
      <c r="H26" s="67">
        <f t="shared" si="2"/>
        <v>0.392</v>
      </c>
      <c r="I26" s="67">
        <f t="shared" si="3"/>
        <v>0.049</v>
      </c>
      <c r="J26" s="228">
        <f t="shared" si="4"/>
        <v>0.0275</v>
      </c>
      <c r="K26" s="229">
        <f t="shared" si="5"/>
        <v>675602467.7618926</v>
      </c>
      <c r="L26" s="67">
        <f t="shared" si="6"/>
        <v>8117128550.399294</v>
      </c>
      <c r="M26" s="67">
        <f t="shared" si="7"/>
        <v>970095851.1452816</v>
      </c>
      <c r="N26" s="67">
        <f t="shared" si="8"/>
        <v>121261981.3931602</v>
      </c>
      <c r="O26" s="228">
        <f t="shared" si="9"/>
        <v>68055193.63901848</v>
      </c>
      <c r="P26" s="67">
        <v>1</v>
      </c>
      <c r="Q26" s="4"/>
      <c r="R26" s="216">
        <f t="shared" si="13"/>
        <v>9730697547.704626</v>
      </c>
      <c r="T26" s="29"/>
    </row>
    <row r="27" spans="1:20" ht="12.75">
      <c r="A27" s="67">
        <v>2019</v>
      </c>
      <c r="B27" s="322"/>
      <c r="C27" s="101">
        <f t="shared" si="10"/>
        <v>21555725.287144277</v>
      </c>
      <c r="D27" s="68">
        <f t="shared" si="11"/>
        <v>0.2541959631857131</v>
      </c>
      <c r="E27" s="97">
        <f t="shared" si="0"/>
        <v>2498239075.9637103</v>
      </c>
      <c r="F27" s="229">
        <f t="shared" si="12"/>
        <v>0.273</v>
      </c>
      <c r="G27" s="67">
        <f t="shared" si="1"/>
        <v>3.28</v>
      </c>
      <c r="H27" s="67">
        <f t="shared" si="2"/>
        <v>0.392</v>
      </c>
      <c r="I27" s="67">
        <f t="shared" si="3"/>
        <v>0.049</v>
      </c>
      <c r="J27" s="228">
        <f t="shared" si="4"/>
        <v>0.0275</v>
      </c>
      <c r="K27" s="229">
        <f t="shared" si="5"/>
        <v>682019267.738093</v>
      </c>
      <c r="L27" s="67">
        <f t="shared" si="6"/>
        <v>8194224169.16097</v>
      </c>
      <c r="M27" s="67">
        <f t="shared" si="7"/>
        <v>979309717.7777745</v>
      </c>
      <c r="N27" s="67">
        <f t="shared" si="8"/>
        <v>122413714.7222218</v>
      </c>
      <c r="O27" s="228">
        <f t="shared" si="9"/>
        <v>68701574.58900203</v>
      </c>
      <c r="P27" s="67">
        <v>1</v>
      </c>
      <c r="Q27" s="4"/>
      <c r="R27" s="216">
        <f t="shared" si="13"/>
        <v>9828004523.181673</v>
      </c>
      <c r="T27" s="29"/>
    </row>
    <row r="28" spans="1:20" ht="13.5" thickBot="1">
      <c r="A28" s="67">
        <v>2020</v>
      </c>
      <c r="B28" s="322"/>
      <c r="C28" s="101">
        <f t="shared" si="10"/>
        <v>21879061.16645144</v>
      </c>
      <c r="D28" s="68">
        <f t="shared" si="11"/>
        <v>0.25405005988212964</v>
      </c>
      <c r="E28" s="97">
        <f t="shared" si="0"/>
        <v>2521773189.0125065</v>
      </c>
      <c r="F28" s="229">
        <f t="shared" si="12"/>
        <v>0.273</v>
      </c>
      <c r="G28" s="67">
        <f t="shared" si="1"/>
        <v>3.28</v>
      </c>
      <c r="H28" s="67">
        <f t="shared" si="2"/>
        <v>0.392</v>
      </c>
      <c r="I28" s="67">
        <f t="shared" si="3"/>
        <v>0.049</v>
      </c>
      <c r="J28" s="228">
        <f t="shared" si="4"/>
        <v>0.0275</v>
      </c>
      <c r="K28" s="229">
        <f t="shared" si="5"/>
        <v>688444080.6004143</v>
      </c>
      <c r="L28" s="67">
        <f t="shared" si="6"/>
        <v>8271416059.96102</v>
      </c>
      <c r="M28" s="67">
        <f t="shared" si="7"/>
        <v>988535090.0929025</v>
      </c>
      <c r="N28" s="67">
        <f t="shared" si="8"/>
        <v>123566886.26161282</v>
      </c>
      <c r="O28" s="228">
        <f t="shared" si="9"/>
        <v>69348762.69784392</v>
      </c>
      <c r="P28" s="67">
        <v>1</v>
      </c>
      <c r="Q28" s="4"/>
      <c r="R28" s="217">
        <f t="shared" si="13"/>
        <v>9926284568.41349</v>
      </c>
      <c r="T28" s="29"/>
    </row>
    <row r="29" spans="1:18" ht="12.75">
      <c r="A29" s="69">
        <v>2005</v>
      </c>
      <c r="B29" s="323" t="s">
        <v>57</v>
      </c>
      <c r="C29" s="38">
        <f>$C$2</f>
        <v>17500000</v>
      </c>
      <c r="D29" s="70">
        <v>0.2</v>
      </c>
      <c r="E29" s="98">
        <f t="shared" si="0"/>
        <v>1710000000</v>
      </c>
      <c r="F29" s="230">
        <v>0.864</v>
      </c>
      <c r="G29" s="70">
        <v>9.88</v>
      </c>
      <c r="H29" s="70">
        <v>1.766</v>
      </c>
      <c r="I29" s="70">
        <v>0.746</v>
      </c>
      <c r="J29" s="231">
        <v>0.075</v>
      </c>
      <c r="K29" s="37">
        <f t="shared" si="5"/>
        <v>1477440000</v>
      </c>
      <c r="L29" s="69">
        <f t="shared" si="6"/>
        <v>16894800000.000002</v>
      </c>
      <c r="M29" s="69">
        <f t="shared" si="7"/>
        <v>3019860000</v>
      </c>
      <c r="N29" s="69">
        <f t="shared" si="8"/>
        <v>1275660000</v>
      </c>
      <c r="O29" s="231">
        <f t="shared" si="9"/>
        <v>128250000</v>
      </c>
      <c r="P29" s="221" t="s">
        <v>53</v>
      </c>
      <c r="Q29" s="4"/>
      <c r="R29" s="215">
        <f>$C$4</f>
        <v>8550000000</v>
      </c>
    </row>
    <row r="30" spans="1:18" ht="12.75">
      <c r="A30" s="69">
        <v>2006</v>
      </c>
      <c r="B30" s="323"/>
      <c r="C30" s="38">
        <f>C29*(1+$C$3)</f>
        <v>17762500</v>
      </c>
      <c r="D30" s="70">
        <f>D29-1/3*((D62-D61)+(D78-D77))</f>
        <v>0.2006666666666667</v>
      </c>
      <c r="E30" s="98">
        <f t="shared" si="0"/>
        <v>1732857000.0000002</v>
      </c>
      <c r="F30" s="37">
        <f>F29*$P30</f>
        <v>0.864</v>
      </c>
      <c r="G30" s="69">
        <f aca="true" t="shared" si="14" ref="G30:G44">G29*$P30</f>
        <v>9.88</v>
      </c>
      <c r="H30" s="69">
        <f aca="true" t="shared" si="15" ref="H30:H44">H29*$P30</f>
        <v>1.766</v>
      </c>
      <c r="I30" s="69">
        <f aca="true" t="shared" si="16" ref="I30:I44">I29*$P30</f>
        <v>0.746</v>
      </c>
      <c r="J30" s="231">
        <f aca="true" t="shared" si="17" ref="J30:J44">J29*$P30</f>
        <v>0.075</v>
      </c>
      <c r="K30" s="37">
        <f aca="true" t="shared" si="18" ref="K30:K92">F30*$E30</f>
        <v>1497188448.0000002</v>
      </c>
      <c r="L30" s="69">
        <f aca="true" t="shared" si="19" ref="L30:L92">G30*$E30</f>
        <v>17120627160.000004</v>
      </c>
      <c r="M30" s="69">
        <f aca="true" t="shared" si="20" ref="M30:M92">H30*$E30</f>
        <v>3060225462.0000005</v>
      </c>
      <c r="N30" s="69">
        <f aca="true" t="shared" si="21" ref="N30:N92">I30*$E30</f>
        <v>1292711322.0000002</v>
      </c>
      <c r="O30" s="231">
        <f aca="true" t="shared" si="22" ref="O30:O92">J30*$E30</f>
        <v>129964275.00000001</v>
      </c>
      <c r="P30" s="69">
        <v>1</v>
      </c>
      <c r="Q30" s="4"/>
      <c r="R30" s="216">
        <f>R29*(1+$C$5)</f>
        <v>8635500000</v>
      </c>
    </row>
    <row r="31" spans="1:18" ht="12.75">
      <c r="A31" s="69">
        <v>2007</v>
      </c>
      <c r="B31" s="323"/>
      <c r="C31" s="38">
        <f aca="true" t="shared" si="23" ref="C31:C44">C30*(1+$C$3)</f>
        <v>18028937.5</v>
      </c>
      <c r="D31" s="70">
        <f aca="true" t="shared" si="24" ref="D31:D44">D30-1/3*((D63-D62)+(D79-D78))</f>
        <v>0.20128333333333334</v>
      </c>
      <c r="E31" s="98">
        <f t="shared" si="0"/>
        <v>1755564047.25</v>
      </c>
      <c r="F31" s="37">
        <f aca="true" t="shared" si="25" ref="F31:F44">F30*$P31</f>
        <v>0.864</v>
      </c>
      <c r="G31" s="69">
        <f t="shared" si="14"/>
        <v>9.88</v>
      </c>
      <c r="H31" s="69">
        <f t="shared" si="15"/>
        <v>1.766</v>
      </c>
      <c r="I31" s="69">
        <f t="shared" si="16"/>
        <v>0.746</v>
      </c>
      <c r="J31" s="231">
        <f t="shared" si="17"/>
        <v>0.075</v>
      </c>
      <c r="K31" s="37">
        <f t="shared" si="18"/>
        <v>1516807336.824</v>
      </c>
      <c r="L31" s="69">
        <f t="shared" si="19"/>
        <v>17344972786.83</v>
      </c>
      <c r="M31" s="69">
        <f t="shared" si="20"/>
        <v>3100326107.4435</v>
      </c>
      <c r="N31" s="69">
        <f t="shared" si="21"/>
        <v>1309650779.2485</v>
      </c>
      <c r="O31" s="231">
        <f t="shared" si="22"/>
        <v>131667303.54374999</v>
      </c>
      <c r="P31" s="69">
        <v>1</v>
      </c>
      <c r="Q31" s="4"/>
      <c r="R31" s="216">
        <f aca="true" t="shared" si="26" ref="R31:R44">R30*(1+$C$5)</f>
        <v>8721855000</v>
      </c>
    </row>
    <row r="32" spans="1:18" ht="12.75">
      <c r="A32" s="69">
        <v>2008</v>
      </c>
      <c r="B32" s="323"/>
      <c r="C32" s="38">
        <f t="shared" si="23"/>
        <v>18299371.5625</v>
      </c>
      <c r="D32" s="70">
        <f t="shared" si="24"/>
        <v>0.20185166666666668</v>
      </c>
      <c r="E32" s="98">
        <f t="shared" si="0"/>
        <v>1778126177.85675</v>
      </c>
      <c r="F32" s="37">
        <f t="shared" si="25"/>
        <v>0.864</v>
      </c>
      <c r="G32" s="69">
        <f t="shared" si="14"/>
        <v>9.88</v>
      </c>
      <c r="H32" s="69">
        <f t="shared" si="15"/>
        <v>1.766</v>
      </c>
      <c r="I32" s="69">
        <f t="shared" si="16"/>
        <v>0.746</v>
      </c>
      <c r="J32" s="231">
        <f t="shared" si="17"/>
        <v>0.075</v>
      </c>
      <c r="K32" s="37">
        <f t="shared" si="18"/>
        <v>1536301017.668232</v>
      </c>
      <c r="L32" s="69">
        <f t="shared" si="19"/>
        <v>17567886637.224693</v>
      </c>
      <c r="M32" s="69">
        <f t="shared" si="20"/>
        <v>3140170830.095021</v>
      </c>
      <c r="N32" s="69">
        <f t="shared" si="21"/>
        <v>1326482128.6811354</v>
      </c>
      <c r="O32" s="231">
        <f t="shared" si="22"/>
        <v>133359463.33925624</v>
      </c>
      <c r="P32" s="69">
        <v>1</v>
      </c>
      <c r="R32" s="216">
        <f t="shared" si="26"/>
        <v>8809073550</v>
      </c>
    </row>
    <row r="33" spans="1:18" ht="12.75">
      <c r="A33" s="69">
        <v>2009</v>
      </c>
      <c r="B33" s="323"/>
      <c r="C33" s="38">
        <f t="shared" si="23"/>
        <v>18573862.135937497</v>
      </c>
      <c r="D33" s="70">
        <f t="shared" si="24"/>
        <v>0.20237320833333336</v>
      </c>
      <c r="E33" s="98">
        <f t="shared" si="0"/>
        <v>1800547681.5253847</v>
      </c>
      <c r="F33" s="37">
        <f t="shared" si="25"/>
        <v>0.864</v>
      </c>
      <c r="G33" s="69">
        <f t="shared" si="14"/>
        <v>9.88</v>
      </c>
      <c r="H33" s="69">
        <f t="shared" si="15"/>
        <v>1.766</v>
      </c>
      <c r="I33" s="69">
        <f t="shared" si="16"/>
        <v>0.746</v>
      </c>
      <c r="J33" s="231">
        <f t="shared" si="17"/>
        <v>0.075</v>
      </c>
      <c r="K33" s="37">
        <f t="shared" si="18"/>
        <v>1555673196.8379323</v>
      </c>
      <c r="L33" s="69">
        <f t="shared" si="19"/>
        <v>17789411093.470802</v>
      </c>
      <c r="M33" s="69">
        <f t="shared" si="20"/>
        <v>3179767205.573829</v>
      </c>
      <c r="N33" s="69">
        <f t="shared" si="21"/>
        <v>1343208570.417937</v>
      </c>
      <c r="O33" s="231">
        <f t="shared" si="22"/>
        <v>135041076.11440384</v>
      </c>
      <c r="P33" s="69">
        <v>1</v>
      </c>
      <c r="R33" s="216">
        <f t="shared" si="26"/>
        <v>8897164285.5</v>
      </c>
    </row>
    <row r="34" spans="1:18" ht="12.75">
      <c r="A34" s="69">
        <v>2010</v>
      </c>
      <c r="B34" s="323"/>
      <c r="C34" s="38">
        <f t="shared" si="23"/>
        <v>18852470.067976557</v>
      </c>
      <c r="D34" s="70">
        <f t="shared" si="24"/>
        <v>0.2028493791666667</v>
      </c>
      <c r="E34" s="98">
        <f t="shared" si="0"/>
        <v>1822832094.17409</v>
      </c>
      <c r="F34" s="37">
        <f t="shared" si="25"/>
        <v>0.864</v>
      </c>
      <c r="G34" s="69">
        <f t="shared" si="14"/>
        <v>9.88</v>
      </c>
      <c r="H34" s="69">
        <f t="shared" si="15"/>
        <v>1.766</v>
      </c>
      <c r="I34" s="69">
        <f t="shared" si="16"/>
        <v>0.746</v>
      </c>
      <c r="J34" s="231">
        <f t="shared" si="17"/>
        <v>0.075</v>
      </c>
      <c r="K34" s="37">
        <f t="shared" si="18"/>
        <v>1574926929.3664136</v>
      </c>
      <c r="L34" s="69">
        <f t="shared" si="19"/>
        <v>18009581090.44001</v>
      </c>
      <c r="M34" s="69">
        <f t="shared" si="20"/>
        <v>3219121478.311443</v>
      </c>
      <c r="N34" s="69">
        <f t="shared" si="21"/>
        <v>1359832742.253871</v>
      </c>
      <c r="O34" s="231">
        <f t="shared" si="22"/>
        <v>136712407.06305674</v>
      </c>
      <c r="P34" s="69">
        <v>1</v>
      </c>
      <c r="R34" s="216">
        <f t="shared" si="26"/>
        <v>8986135928.355</v>
      </c>
    </row>
    <row r="35" spans="1:18" ht="12.75">
      <c r="A35" s="69">
        <v>2011</v>
      </c>
      <c r="B35" s="323"/>
      <c r="C35" s="38">
        <f t="shared" si="23"/>
        <v>19135257.118996203</v>
      </c>
      <c r="D35" s="70">
        <f t="shared" si="24"/>
        <v>0.20328148302083338</v>
      </c>
      <c r="E35" s="98">
        <f t="shared" si="0"/>
        <v>1844982188.5242257</v>
      </c>
      <c r="F35" s="37">
        <f t="shared" si="25"/>
        <v>0.864</v>
      </c>
      <c r="G35" s="69">
        <f t="shared" si="14"/>
        <v>9.88</v>
      </c>
      <c r="H35" s="69">
        <f t="shared" si="15"/>
        <v>1.766</v>
      </c>
      <c r="I35" s="69">
        <f t="shared" si="16"/>
        <v>0.746</v>
      </c>
      <c r="J35" s="231">
        <f t="shared" si="17"/>
        <v>0.075</v>
      </c>
      <c r="K35" s="37">
        <f t="shared" si="18"/>
        <v>1594064610.884931</v>
      </c>
      <c r="L35" s="69">
        <f t="shared" si="19"/>
        <v>18228424022.61935</v>
      </c>
      <c r="M35" s="69">
        <f t="shared" si="20"/>
        <v>3258238544.9337826</v>
      </c>
      <c r="N35" s="69">
        <f t="shared" si="21"/>
        <v>1376356712.6390724</v>
      </c>
      <c r="O35" s="231">
        <f t="shared" si="22"/>
        <v>138373664.13931692</v>
      </c>
      <c r="P35" s="69">
        <v>1</v>
      </c>
      <c r="R35" s="216">
        <f t="shared" si="26"/>
        <v>9075997287.63855</v>
      </c>
    </row>
    <row r="36" spans="1:18" ht="12.75">
      <c r="A36" s="69">
        <v>2012</v>
      </c>
      <c r="B36" s="323"/>
      <c r="C36" s="38">
        <f t="shared" si="23"/>
        <v>19422285.975781143</v>
      </c>
      <c r="D36" s="70">
        <f t="shared" si="24"/>
        <v>0.2036707103229167</v>
      </c>
      <c r="E36" s="98">
        <f t="shared" si="0"/>
        <v>1866999962.6068306</v>
      </c>
      <c r="F36" s="37">
        <f t="shared" si="25"/>
        <v>0.864</v>
      </c>
      <c r="G36" s="69">
        <f t="shared" si="14"/>
        <v>9.88</v>
      </c>
      <c r="H36" s="69">
        <f t="shared" si="15"/>
        <v>1.766</v>
      </c>
      <c r="I36" s="69">
        <f t="shared" si="16"/>
        <v>0.746</v>
      </c>
      <c r="J36" s="231">
        <f t="shared" si="17"/>
        <v>0.075</v>
      </c>
      <c r="K36" s="37">
        <f t="shared" si="18"/>
        <v>1613087967.6923015</v>
      </c>
      <c r="L36" s="69">
        <f t="shared" si="19"/>
        <v>18445959630.55549</v>
      </c>
      <c r="M36" s="69">
        <f t="shared" si="20"/>
        <v>3297121933.9636626</v>
      </c>
      <c r="N36" s="69">
        <f t="shared" si="21"/>
        <v>1392781972.1046956</v>
      </c>
      <c r="O36" s="231">
        <f t="shared" si="22"/>
        <v>140024997.1955123</v>
      </c>
      <c r="P36" s="69">
        <v>1</v>
      </c>
      <c r="R36" s="216">
        <f t="shared" si="26"/>
        <v>9166757260.514935</v>
      </c>
    </row>
    <row r="37" spans="1:18" ht="12.75">
      <c r="A37" s="69">
        <v>2013</v>
      </c>
      <c r="B37" s="323"/>
      <c r="C37" s="38">
        <f t="shared" si="23"/>
        <v>19713620.26541786</v>
      </c>
      <c r="D37" s="70">
        <f t="shared" si="24"/>
        <v>0.2040181413325521</v>
      </c>
      <c r="E37" s="98">
        <f t="shared" si="0"/>
        <v>1888886626.1203036</v>
      </c>
      <c r="F37" s="37">
        <f t="shared" si="25"/>
        <v>0.864</v>
      </c>
      <c r="G37" s="69">
        <f t="shared" si="14"/>
        <v>9.88</v>
      </c>
      <c r="H37" s="69">
        <f t="shared" si="15"/>
        <v>1.766</v>
      </c>
      <c r="I37" s="69">
        <f t="shared" si="16"/>
        <v>0.746</v>
      </c>
      <c r="J37" s="231">
        <f t="shared" si="17"/>
        <v>0.075</v>
      </c>
      <c r="K37" s="37">
        <f t="shared" si="18"/>
        <v>1631998044.9679422</v>
      </c>
      <c r="L37" s="69">
        <f t="shared" si="19"/>
        <v>18662199866.0686</v>
      </c>
      <c r="M37" s="69">
        <f t="shared" si="20"/>
        <v>3335773781.728456</v>
      </c>
      <c r="N37" s="69">
        <f t="shared" si="21"/>
        <v>1409109423.0857465</v>
      </c>
      <c r="O37" s="231">
        <f t="shared" si="22"/>
        <v>141666496.95902276</v>
      </c>
      <c r="P37" s="69">
        <v>1</v>
      </c>
      <c r="R37" s="216">
        <f t="shared" si="26"/>
        <v>9258424833.120085</v>
      </c>
    </row>
    <row r="38" spans="1:18" ht="12.75">
      <c r="A38" s="69">
        <v>2014</v>
      </c>
      <c r="B38" s="323"/>
      <c r="C38" s="38">
        <f t="shared" si="23"/>
        <v>20009324.569399126</v>
      </c>
      <c r="D38" s="70">
        <f t="shared" si="24"/>
        <v>0.2043247491179948</v>
      </c>
      <c r="E38" s="98">
        <f t="shared" si="0"/>
        <v>1910642584.567625</v>
      </c>
      <c r="F38" s="37">
        <f t="shared" si="25"/>
        <v>0.864</v>
      </c>
      <c r="G38" s="69">
        <f t="shared" si="14"/>
        <v>9.88</v>
      </c>
      <c r="H38" s="69">
        <f t="shared" si="15"/>
        <v>1.766</v>
      </c>
      <c r="I38" s="69">
        <f t="shared" si="16"/>
        <v>0.746</v>
      </c>
      <c r="J38" s="231">
        <f t="shared" si="17"/>
        <v>0.075</v>
      </c>
      <c r="K38" s="37">
        <f t="shared" si="18"/>
        <v>1650795193.066428</v>
      </c>
      <c r="L38" s="69">
        <f t="shared" si="19"/>
        <v>18877148735.528137</v>
      </c>
      <c r="M38" s="69">
        <f t="shared" si="20"/>
        <v>3374194804.346426</v>
      </c>
      <c r="N38" s="69">
        <f t="shared" si="21"/>
        <v>1425339368.0874484</v>
      </c>
      <c r="O38" s="231">
        <f t="shared" si="22"/>
        <v>143298193.84257188</v>
      </c>
      <c r="P38" s="69">
        <v>1</v>
      </c>
      <c r="R38" s="216">
        <f t="shared" si="26"/>
        <v>9351009081.451286</v>
      </c>
    </row>
    <row r="39" spans="1:18" ht="12.75">
      <c r="A39" s="69">
        <v>2015</v>
      </c>
      <c r="B39" s="323"/>
      <c r="C39" s="38">
        <f t="shared" si="23"/>
        <v>20309464.43794011</v>
      </c>
      <c r="D39" s="70">
        <f t="shared" si="24"/>
        <v>0.2045914022567689</v>
      </c>
      <c r="E39" s="98">
        <f t="shared" si="0"/>
        <v>1932267421.0947978</v>
      </c>
      <c r="F39" s="37">
        <f t="shared" si="25"/>
        <v>0.864</v>
      </c>
      <c r="G39" s="69">
        <f t="shared" si="14"/>
        <v>9.88</v>
      </c>
      <c r="H39" s="69">
        <f t="shared" si="15"/>
        <v>1.766</v>
      </c>
      <c r="I39" s="69">
        <f t="shared" si="16"/>
        <v>0.746</v>
      </c>
      <c r="J39" s="231">
        <f t="shared" si="17"/>
        <v>0.075</v>
      </c>
      <c r="K39" s="37">
        <f t="shared" si="18"/>
        <v>1669479051.8259053</v>
      </c>
      <c r="L39" s="69">
        <f t="shared" si="19"/>
        <v>19090802120.416603</v>
      </c>
      <c r="M39" s="69">
        <f t="shared" si="20"/>
        <v>3412384265.653413</v>
      </c>
      <c r="N39" s="69">
        <f t="shared" si="21"/>
        <v>1441471496.1367192</v>
      </c>
      <c r="O39" s="231">
        <f t="shared" si="22"/>
        <v>144920056.58210984</v>
      </c>
      <c r="P39" s="69">
        <v>1</v>
      </c>
      <c r="R39" s="216">
        <f t="shared" si="26"/>
        <v>9444519172.265799</v>
      </c>
    </row>
    <row r="40" spans="1:18" ht="12.75">
      <c r="A40" s="69">
        <v>2016</v>
      </c>
      <c r="B40" s="323"/>
      <c r="C40" s="38">
        <f t="shared" si="23"/>
        <v>20614106.40450921</v>
      </c>
      <c r="D40" s="70">
        <f t="shared" si="24"/>
        <v>0.20451949879871878</v>
      </c>
      <c r="E40" s="98">
        <f t="shared" si="0"/>
        <v>1950904210.7817583</v>
      </c>
      <c r="F40" s="37">
        <f t="shared" si="25"/>
        <v>0.864</v>
      </c>
      <c r="G40" s="69">
        <f t="shared" si="14"/>
        <v>9.88</v>
      </c>
      <c r="H40" s="69">
        <f t="shared" si="15"/>
        <v>1.766</v>
      </c>
      <c r="I40" s="69">
        <f t="shared" si="16"/>
        <v>0.746</v>
      </c>
      <c r="J40" s="231">
        <f t="shared" si="17"/>
        <v>0.075</v>
      </c>
      <c r="K40" s="37">
        <f t="shared" si="18"/>
        <v>1685581238.1154392</v>
      </c>
      <c r="L40" s="69">
        <f t="shared" si="19"/>
        <v>19274933602.523773</v>
      </c>
      <c r="M40" s="69">
        <f t="shared" si="20"/>
        <v>3445296836.2405853</v>
      </c>
      <c r="N40" s="69">
        <f t="shared" si="21"/>
        <v>1455374541.2431917</v>
      </c>
      <c r="O40" s="231">
        <f t="shared" si="22"/>
        <v>146317815.80863187</v>
      </c>
      <c r="P40" s="69">
        <v>1</v>
      </c>
      <c r="R40" s="216">
        <f t="shared" si="26"/>
        <v>9538964363.988457</v>
      </c>
    </row>
    <row r="41" spans="1:18" ht="12.75">
      <c r="A41" s="69">
        <v>2017</v>
      </c>
      <c r="B41" s="323"/>
      <c r="C41" s="38">
        <f t="shared" si="23"/>
        <v>20923318.000576846</v>
      </c>
      <c r="D41" s="70">
        <f t="shared" si="24"/>
        <v>0.20443002963918394</v>
      </c>
      <c r="E41" s="98">
        <f t="shared" si="0"/>
        <v>1969551275.3338525</v>
      </c>
      <c r="F41" s="37">
        <f t="shared" si="25"/>
        <v>0.864</v>
      </c>
      <c r="G41" s="69">
        <f t="shared" si="14"/>
        <v>9.88</v>
      </c>
      <c r="H41" s="69">
        <f t="shared" si="15"/>
        <v>1.766</v>
      </c>
      <c r="I41" s="69">
        <f t="shared" si="16"/>
        <v>0.746</v>
      </c>
      <c r="J41" s="231">
        <f t="shared" si="17"/>
        <v>0.075</v>
      </c>
      <c r="K41" s="37">
        <f t="shared" si="18"/>
        <v>1701692301.8884485</v>
      </c>
      <c r="L41" s="69">
        <f t="shared" si="19"/>
        <v>19459166600.298466</v>
      </c>
      <c r="M41" s="69">
        <f t="shared" si="20"/>
        <v>3478227552.2395835</v>
      </c>
      <c r="N41" s="69">
        <f t="shared" si="21"/>
        <v>1469285251.399054</v>
      </c>
      <c r="O41" s="231">
        <f t="shared" si="22"/>
        <v>147716345.65003893</v>
      </c>
      <c r="P41" s="69">
        <v>1</v>
      </c>
      <c r="R41" s="216">
        <f t="shared" si="26"/>
        <v>9634354007.628342</v>
      </c>
    </row>
    <row r="42" spans="1:18" ht="12.75">
      <c r="A42" s="69">
        <v>2018</v>
      </c>
      <c r="B42" s="323"/>
      <c r="C42" s="38">
        <f t="shared" si="23"/>
        <v>21237167.770585496</v>
      </c>
      <c r="D42" s="70">
        <f t="shared" si="24"/>
        <v>0.20432239590366177</v>
      </c>
      <c r="E42" s="98">
        <f t="shared" si="0"/>
        <v>1988199436.7608953</v>
      </c>
      <c r="F42" s="37">
        <f t="shared" si="25"/>
        <v>0.864</v>
      </c>
      <c r="G42" s="69">
        <f t="shared" si="14"/>
        <v>9.88</v>
      </c>
      <c r="H42" s="69">
        <f t="shared" si="15"/>
        <v>1.766</v>
      </c>
      <c r="I42" s="69">
        <f t="shared" si="16"/>
        <v>0.746</v>
      </c>
      <c r="J42" s="231">
        <f t="shared" si="17"/>
        <v>0.075</v>
      </c>
      <c r="K42" s="37">
        <f t="shared" si="18"/>
        <v>1717804313.3614135</v>
      </c>
      <c r="L42" s="69">
        <f t="shared" si="19"/>
        <v>19643410435.197647</v>
      </c>
      <c r="M42" s="69">
        <f t="shared" si="20"/>
        <v>3511160205.3197412</v>
      </c>
      <c r="N42" s="69">
        <f t="shared" si="21"/>
        <v>1483196779.823628</v>
      </c>
      <c r="O42" s="231">
        <f t="shared" si="22"/>
        <v>149114957.75706714</v>
      </c>
      <c r="P42" s="69">
        <v>1</v>
      </c>
      <c r="R42" s="216">
        <f t="shared" si="26"/>
        <v>9730697547.704626</v>
      </c>
    </row>
    <row r="43" spans="1:18" ht="12.75">
      <c r="A43" s="69">
        <v>2019</v>
      </c>
      <c r="B43" s="323"/>
      <c r="C43" s="38">
        <f t="shared" si="23"/>
        <v>21555725.287144277</v>
      </c>
      <c r="D43" s="70">
        <f t="shared" si="24"/>
        <v>0.20419596318571312</v>
      </c>
      <c r="E43" s="98">
        <f t="shared" si="0"/>
        <v>2006838849.804627</v>
      </c>
      <c r="F43" s="37">
        <f t="shared" si="25"/>
        <v>0.864</v>
      </c>
      <c r="G43" s="69">
        <f t="shared" si="14"/>
        <v>9.88</v>
      </c>
      <c r="H43" s="69">
        <f t="shared" si="15"/>
        <v>1.766</v>
      </c>
      <c r="I43" s="69">
        <f t="shared" si="16"/>
        <v>0.746</v>
      </c>
      <c r="J43" s="231">
        <f t="shared" si="17"/>
        <v>0.075</v>
      </c>
      <c r="K43" s="37">
        <f t="shared" si="18"/>
        <v>1733908766.2311976</v>
      </c>
      <c r="L43" s="69">
        <f t="shared" si="19"/>
        <v>19827567836.069717</v>
      </c>
      <c r="M43" s="69">
        <f t="shared" si="20"/>
        <v>3544077408.754971</v>
      </c>
      <c r="N43" s="69">
        <f t="shared" si="21"/>
        <v>1497101781.9542518</v>
      </c>
      <c r="O43" s="231">
        <f t="shared" si="22"/>
        <v>150512913.735347</v>
      </c>
      <c r="P43" s="69">
        <v>1</v>
      </c>
      <c r="R43" s="216">
        <f t="shared" si="26"/>
        <v>9828004523.181673</v>
      </c>
    </row>
    <row r="44" spans="1:18" ht="13.5" thickBot="1">
      <c r="A44" s="69">
        <v>2020</v>
      </c>
      <c r="B44" s="323"/>
      <c r="C44" s="38">
        <f t="shared" si="23"/>
        <v>21879061.16645144</v>
      </c>
      <c r="D44" s="70">
        <f t="shared" si="24"/>
        <v>0.20405005988212965</v>
      </c>
      <c r="E44" s="98">
        <f t="shared" si="0"/>
        <v>2025458960.5918322</v>
      </c>
      <c r="F44" s="37">
        <f t="shared" si="25"/>
        <v>0.864</v>
      </c>
      <c r="G44" s="69">
        <f t="shared" si="14"/>
        <v>9.88</v>
      </c>
      <c r="H44" s="69">
        <f t="shared" si="15"/>
        <v>1.766</v>
      </c>
      <c r="I44" s="69">
        <f t="shared" si="16"/>
        <v>0.746</v>
      </c>
      <c r="J44" s="231">
        <f t="shared" si="17"/>
        <v>0.075</v>
      </c>
      <c r="K44" s="37">
        <f t="shared" si="18"/>
        <v>1749996541.951343</v>
      </c>
      <c r="L44" s="69">
        <f t="shared" si="19"/>
        <v>20011534530.647305</v>
      </c>
      <c r="M44" s="69">
        <f t="shared" si="20"/>
        <v>3576960524.4051757</v>
      </c>
      <c r="N44" s="69">
        <f t="shared" si="21"/>
        <v>1510992384.6015067</v>
      </c>
      <c r="O44" s="231">
        <f t="shared" si="22"/>
        <v>151909422.0443874</v>
      </c>
      <c r="P44" s="69">
        <v>1</v>
      </c>
      <c r="R44" s="217">
        <f t="shared" si="26"/>
        <v>9926284568.41349</v>
      </c>
    </row>
    <row r="45" spans="1:18" ht="12.75">
      <c r="A45" s="71">
        <v>2005</v>
      </c>
      <c r="B45" s="324" t="s">
        <v>58</v>
      </c>
      <c r="C45" s="44">
        <f>$C$2</f>
        <v>17500000</v>
      </c>
      <c r="D45" s="72">
        <v>0.49</v>
      </c>
      <c r="E45" s="99">
        <f aca="true" t="shared" si="27" ref="E45:E76">R45*D45</f>
        <v>4189500000</v>
      </c>
      <c r="F45" s="232">
        <v>3.001</v>
      </c>
      <c r="G45" s="73">
        <v>34.71</v>
      </c>
      <c r="H45" s="73">
        <v>5.051</v>
      </c>
      <c r="I45" s="73">
        <v>1.498</v>
      </c>
      <c r="J45" s="233">
        <v>0.027</v>
      </c>
      <c r="K45" s="43">
        <f t="shared" si="18"/>
        <v>12572689500</v>
      </c>
      <c r="L45" s="71">
        <f t="shared" si="19"/>
        <v>145417545000</v>
      </c>
      <c r="M45" s="71">
        <f t="shared" si="20"/>
        <v>21161164500</v>
      </c>
      <c r="N45" s="71">
        <f t="shared" si="21"/>
        <v>6275871000</v>
      </c>
      <c r="O45" s="233">
        <f t="shared" si="22"/>
        <v>113116500</v>
      </c>
      <c r="P45" s="220" t="s">
        <v>53</v>
      </c>
      <c r="R45" s="215">
        <f>$C$4</f>
        <v>8550000000</v>
      </c>
    </row>
    <row r="46" spans="1:18" ht="12.75">
      <c r="A46" s="71">
        <v>2006</v>
      </c>
      <c r="B46" s="324"/>
      <c r="C46" s="44">
        <f>C45*(1+$C$3)</f>
        <v>17762500</v>
      </c>
      <c r="D46" s="72">
        <f>D45-1/3*((D62-D61)+(D78-D77))</f>
        <v>0.49066666666666664</v>
      </c>
      <c r="E46" s="99">
        <f t="shared" si="27"/>
        <v>4237152000</v>
      </c>
      <c r="F46" s="43">
        <f aca="true" t="shared" si="28" ref="F46:F60">F45*$P46</f>
        <v>3.001</v>
      </c>
      <c r="G46" s="71">
        <f aca="true" t="shared" si="29" ref="G46:G60">G45*$P46</f>
        <v>34.71</v>
      </c>
      <c r="H46" s="71">
        <f aca="true" t="shared" si="30" ref="H46:H60">H45*$P46</f>
        <v>5.051</v>
      </c>
      <c r="I46" s="71">
        <f aca="true" t="shared" si="31" ref="I46:I60">I45*$P46</f>
        <v>1.498</v>
      </c>
      <c r="J46" s="233">
        <f aca="true" t="shared" si="32" ref="J46:J60">J45*$P46</f>
        <v>0.027</v>
      </c>
      <c r="K46" s="43">
        <f t="shared" si="18"/>
        <v>12715693152</v>
      </c>
      <c r="L46" s="71">
        <f t="shared" si="19"/>
        <v>147071545920</v>
      </c>
      <c r="M46" s="71">
        <f t="shared" si="20"/>
        <v>21401854752</v>
      </c>
      <c r="N46" s="71">
        <f t="shared" si="21"/>
        <v>6347253696</v>
      </c>
      <c r="O46" s="233">
        <f t="shared" si="22"/>
        <v>114403104</v>
      </c>
      <c r="P46" s="74">
        <v>1</v>
      </c>
      <c r="R46" s="216">
        <f>R45*(1+$C$5)</f>
        <v>8635500000</v>
      </c>
    </row>
    <row r="47" spans="1:18" ht="12.75">
      <c r="A47" s="71">
        <v>2007</v>
      </c>
      <c r="B47" s="324"/>
      <c r="C47" s="44">
        <f aca="true" t="shared" si="33" ref="C47:C60">C46*(1+$C$3)</f>
        <v>18028937.5</v>
      </c>
      <c r="D47" s="72">
        <f aca="true" t="shared" si="34" ref="D47:D60">D46-1/3*((D63-D62)+(D79-D78))</f>
        <v>0.4912833333333333</v>
      </c>
      <c r="E47" s="99">
        <f t="shared" si="27"/>
        <v>4284901997.2499995</v>
      </c>
      <c r="F47" s="43">
        <f t="shared" si="28"/>
        <v>3.001</v>
      </c>
      <c r="G47" s="71">
        <f t="shared" si="29"/>
        <v>34.71</v>
      </c>
      <c r="H47" s="71">
        <f t="shared" si="30"/>
        <v>5.051</v>
      </c>
      <c r="I47" s="71">
        <f t="shared" si="31"/>
        <v>1.498</v>
      </c>
      <c r="J47" s="233">
        <f t="shared" si="32"/>
        <v>0.027</v>
      </c>
      <c r="K47" s="43">
        <f t="shared" si="18"/>
        <v>12858990893.747248</v>
      </c>
      <c r="L47" s="71">
        <f t="shared" si="19"/>
        <v>148728948324.5475</v>
      </c>
      <c r="M47" s="71">
        <f t="shared" si="20"/>
        <v>21643039988.10975</v>
      </c>
      <c r="N47" s="71">
        <f t="shared" si="21"/>
        <v>6418783191.880499</v>
      </c>
      <c r="O47" s="233">
        <f t="shared" si="22"/>
        <v>115692353.92574999</v>
      </c>
      <c r="P47" s="74">
        <v>1</v>
      </c>
      <c r="R47" s="216">
        <f aca="true" t="shared" si="35" ref="R47:R60">R46*(1+$C$5)</f>
        <v>8721855000</v>
      </c>
    </row>
    <row r="48" spans="1:18" ht="12.75">
      <c r="A48" s="71">
        <v>2008</v>
      </c>
      <c r="B48" s="324"/>
      <c r="C48" s="44">
        <f t="shared" si="33"/>
        <v>18299371.5625</v>
      </c>
      <c r="D48" s="72">
        <f t="shared" si="34"/>
        <v>0.49185166666666663</v>
      </c>
      <c r="E48" s="99">
        <f t="shared" si="27"/>
        <v>4332757507.35675</v>
      </c>
      <c r="F48" s="43">
        <f t="shared" si="28"/>
        <v>3.001</v>
      </c>
      <c r="G48" s="71">
        <f t="shared" si="29"/>
        <v>34.71</v>
      </c>
      <c r="H48" s="71">
        <f t="shared" si="30"/>
        <v>5.051</v>
      </c>
      <c r="I48" s="71">
        <f t="shared" si="31"/>
        <v>1.498</v>
      </c>
      <c r="J48" s="233">
        <f t="shared" si="32"/>
        <v>0.027</v>
      </c>
      <c r="K48" s="43">
        <f t="shared" si="18"/>
        <v>13002605279.577604</v>
      </c>
      <c r="L48" s="71">
        <f t="shared" si="19"/>
        <v>150390013080.35278</v>
      </c>
      <c r="M48" s="71">
        <f t="shared" si="20"/>
        <v>21884758169.658943</v>
      </c>
      <c r="N48" s="71">
        <f t="shared" si="21"/>
        <v>6490470746.020411</v>
      </c>
      <c r="O48" s="233">
        <f t="shared" si="22"/>
        <v>116984452.69863224</v>
      </c>
      <c r="P48" s="74">
        <v>1</v>
      </c>
      <c r="R48" s="216">
        <f t="shared" si="35"/>
        <v>8809073550</v>
      </c>
    </row>
    <row r="49" spans="1:18" ht="12.75">
      <c r="A49" s="71">
        <v>2009</v>
      </c>
      <c r="B49" s="324"/>
      <c r="C49" s="44">
        <f t="shared" si="33"/>
        <v>18573862.135937497</v>
      </c>
      <c r="D49" s="72">
        <f t="shared" si="34"/>
        <v>0.4923732083333333</v>
      </c>
      <c r="E49" s="99">
        <f t="shared" si="27"/>
        <v>4380725324.320384</v>
      </c>
      <c r="F49" s="43">
        <f t="shared" si="28"/>
        <v>3.001</v>
      </c>
      <c r="G49" s="71">
        <f t="shared" si="29"/>
        <v>34.71</v>
      </c>
      <c r="H49" s="71">
        <f t="shared" si="30"/>
        <v>5.051</v>
      </c>
      <c r="I49" s="71">
        <f t="shared" si="31"/>
        <v>1.498</v>
      </c>
      <c r="J49" s="233">
        <f t="shared" si="32"/>
        <v>0.027</v>
      </c>
      <c r="K49" s="43">
        <f t="shared" si="18"/>
        <v>13146556698.285473</v>
      </c>
      <c r="L49" s="71">
        <f t="shared" si="19"/>
        <v>152054976007.16052</v>
      </c>
      <c r="M49" s="71">
        <f t="shared" si="20"/>
        <v>22127043613.14226</v>
      </c>
      <c r="N49" s="71">
        <f t="shared" si="21"/>
        <v>6562326535.831935</v>
      </c>
      <c r="O49" s="233">
        <f t="shared" si="22"/>
        <v>118279583.75665037</v>
      </c>
      <c r="P49" s="74">
        <v>1</v>
      </c>
      <c r="R49" s="216">
        <f t="shared" si="35"/>
        <v>8897164285.5</v>
      </c>
    </row>
    <row r="50" spans="1:18" ht="12.75">
      <c r="A50" s="71">
        <v>2010</v>
      </c>
      <c r="B50" s="324"/>
      <c r="C50" s="44">
        <f t="shared" si="33"/>
        <v>18852470.067976557</v>
      </c>
      <c r="D50" s="72">
        <f t="shared" si="34"/>
        <v>0.49284937916666666</v>
      </c>
      <c r="E50" s="99">
        <f t="shared" si="27"/>
        <v>4428811513.397039</v>
      </c>
      <c r="F50" s="43">
        <f t="shared" si="28"/>
        <v>3.001</v>
      </c>
      <c r="G50" s="71">
        <f t="shared" si="29"/>
        <v>34.71</v>
      </c>
      <c r="H50" s="71">
        <f t="shared" si="30"/>
        <v>5.051</v>
      </c>
      <c r="I50" s="71">
        <f t="shared" si="31"/>
        <v>1.498</v>
      </c>
      <c r="J50" s="233">
        <f t="shared" si="32"/>
        <v>0.027</v>
      </c>
      <c r="K50" s="43">
        <f t="shared" si="18"/>
        <v>13290863351.704515</v>
      </c>
      <c r="L50" s="71">
        <f t="shared" si="19"/>
        <v>153724047630.01123</v>
      </c>
      <c r="M50" s="71">
        <f t="shared" si="20"/>
        <v>22369926954.168446</v>
      </c>
      <c r="N50" s="71">
        <f t="shared" si="21"/>
        <v>6634359647.068765</v>
      </c>
      <c r="O50" s="233">
        <f t="shared" si="22"/>
        <v>119577910.86172007</v>
      </c>
      <c r="P50" s="74">
        <v>1</v>
      </c>
      <c r="R50" s="216">
        <f t="shared" si="35"/>
        <v>8986135928.355</v>
      </c>
    </row>
    <row r="51" spans="1:18" ht="12.75">
      <c r="A51" s="71">
        <v>2011</v>
      </c>
      <c r="B51" s="324"/>
      <c r="C51" s="44">
        <f t="shared" si="33"/>
        <v>19135257.118996203</v>
      </c>
      <c r="D51" s="72">
        <f t="shared" si="34"/>
        <v>0.4932814830208333</v>
      </c>
      <c r="E51" s="99">
        <f t="shared" si="27"/>
        <v>4477021401.9394045</v>
      </c>
      <c r="F51" s="43">
        <f t="shared" si="28"/>
        <v>3.001</v>
      </c>
      <c r="G51" s="71">
        <f t="shared" si="29"/>
        <v>34.71</v>
      </c>
      <c r="H51" s="71">
        <f t="shared" si="30"/>
        <v>5.051</v>
      </c>
      <c r="I51" s="71">
        <f t="shared" si="31"/>
        <v>1.498</v>
      </c>
      <c r="J51" s="233">
        <f t="shared" si="32"/>
        <v>0.027</v>
      </c>
      <c r="K51" s="43">
        <f t="shared" si="18"/>
        <v>13435541227.220152</v>
      </c>
      <c r="L51" s="71">
        <f t="shared" si="19"/>
        <v>155397412861.31674</v>
      </c>
      <c r="M51" s="71">
        <f t="shared" si="20"/>
        <v>22613435101.195934</v>
      </c>
      <c r="N51" s="71">
        <f t="shared" si="21"/>
        <v>6706578060.105227</v>
      </c>
      <c r="O51" s="233">
        <f t="shared" si="22"/>
        <v>120879577.85236391</v>
      </c>
      <c r="P51" s="74">
        <v>1</v>
      </c>
      <c r="R51" s="216">
        <f t="shared" si="35"/>
        <v>9075997287.63855</v>
      </c>
    </row>
    <row r="52" spans="1:18" ht="12.75">
      <c r="A52" s="71">
        <v>2012</v>
      </c>
      <c r="B52" s="324"/>
      <c r="C52" s="44">
        <f t="shared" si="33"/>
        <v>19422285.975781143</v>
      </c>
      <c r="D52" s="72">
        <f t="shared" si="34"/>
        <v>0.49367071032291665</v>
      </c>
      <c r="E52" s="99">
        <f t="shared" si="27"/>
        <v>4525359568.156161</v>
      </c>
      <c r="F52" s="43">
        <f t="shared" si="28"/>
        <v>3.001</v>
      </c>
      <c r="G52" s="71">
        <f t="shared" si="29"/>
        <v>34.71</v>
      </c>
      <c r="H52" s="71">
        <f t="shared" si="30"/>
        <v>5.051</v>
      </c>
      <c r="I52" s="71">
        <f t="shared" si="31"/>
        <v>1.498</v>
      </c>
      <c r="J52" s="233">
        <f t="shared" si="32"/>
        <v>0.027</v>
      </c>
      <c r="K52" s="43">
        <f t="shared" si="18"/>
        <v>13580604064.03664</v>
      </c>
      <c r="L52" s="71">
        <f t="shared" si="19"/>
        <v>157075230610.70035</v>
      </c>
      <c r="M52" s="71">
        <f t="shared" si="20"/>
        <v>22857591178.75677</v>
      </c>
      <c r="N52" s="71">
        <f t="shared" si="21"/>
        <v>6778988633.09793</v>
      </c>
      <c r="O52" s="233">
        <f t="shared" si="22"/>
        <v>122184708.34021635</v>
      </c>
      <c r="P52" s="74">
        <v>1</v>
      </c>
      <c r="R52" s="216">
        <f t="shared" si="35"/>
        <v>9166757260.514935</v>
      </c>
    </row>
    <row r="53" spans="1:18" ht="12.75">
      <c r="A53" s="71">
        <v>2013</v>
      </c>
      <c r="B53" s="324"/>
      <c r="C53" s="44">
        <f t="shared" si="33"/>
        <v>19713620.26541786</v>
      </c>
      <c r="D53" s="72">
        <f t="shared" si="34"/>
        <v>0.49401814133255206</v>
      </c>
      <c r="E53" s="99">
        <f t="shared" si="27"/>
        <v>4573829827.725128</v>
      </c>
      <c r="F53" s="43">
        <f t="shared" si="28"/>
        <v>3.001</v>
      </c>
      <c r="G53" s="71">
        <f t="shared" si="29"/>
        <v>34.71</v>
      </c>
      <c r="H53" s="71">
        <f t="shared" si="30"/>
        <v>5.051</v>
      </c>
      <c r="I53" s="71">
        <f t="shared" si="31"/>
        <v>1.498</v>
      </c>
      <c r="J53" s="233">
        <f t="shared" si="32"/>
        <v>0.027</v>
      </c>
      <c r="K53" s="43">
        <f t="shared" si="18"/>
        <v>13726063313.003109</v>
      </c>
      <c r="L53" s="71">
        <f t="shared" si="19"/>
        <v>158757633320.3392</v>
      </c>
      <c r="M53" s="71">
        <f t="shared" si="20"/>
        <v>23102414459.839622</v>
      </c>
      <c r="N53" s="71">
        <f t="shared" si="21"/>
        <v>6851597081.932242</v>
      </c>
      <c r="O53" s="233">
        <f t="shared" si="22"/>
        <v>123493405.34857845</v>
      </c>
      <c r="P53" s="74">
        <v>1</v>
      </c>
      <c r="R53" s="216">
        <f t="shared" si="35"/>
        <v>9258424833.120085</v>
      </c>
    </row>
    <row r="54" spans="1:18" ht="12.75">
      <c r="A54" s="71">
        <v>2014</v>
      </c>
      <c r="B54" s="324"/>
      <c r="C54" s="44">
        <f t="shared" si="33"/>
        <v>20009324.569399126</v>
      </c>
      <c r="D54" s="72">
        <f t="shared" si="34"/>
        <v>0.4943247491179948</v>
      </c>
      <c r="E54" s="99">
        <f t="shared" si="27"/>
        <v>4622435218.188498</v>
      </c>
      <c r="F54" s="43">
        <f t="shared" si="28"/>
        <v>3.001</v>
      </c>
      <c r="G54" s="71">
        <f t="shared" si="29"/>
        <v>34.71</v>
      </c>
      <c r="H54" s="71">
        <f t="shared" si="30"/>
        <v>5.051</v>
      </c>
      <c r="I54" s="71">
        <f t="shared" si="31"/>
        <v>1.498</v>
      </c>
      <c r="J54" s="233">
        <f t="shared" si="32"/>
        <v>0.027</v>
      </c>
      <c r="K54" s="43">
        <f t="shared" si="18"/>
        <v>13871928089.78368</v>
      </c>
      <c r="L54" s="71">
        <f t="shared" si="19"/>
        <v>160444726423.32275</v>
      </c>
      <c r="M54" s="71">
        <f t="shared" si="20"/>
        <v>23347920287.070103</v>
      </c>
      <c r="N54" s="71">
        <f t="shared" si="21"/>
        <v>6924407956.84637</v>
      </c>
      <c r="O54" s="233">
        <f t="shared" si="22"/>
        <v>124805750.89108944</v>
      </c>
      <c r="P54" s="74">
        <v>1</v>
      </c>
      <c r="R54" s="216">
        <f t="shared" si="35"/>
        <v>9351009081.451286</v>
      </c>
    </row>
    <row r="55" spans="1:18" ht="12.75">
      <c r="A55" s="71">
        <v>2015</v>
      </c>
      <c r="B55" s="324"/>
      <c r="C55" s="44">
        <f t="shared" si="33"/>
        <v>20309464.43794011</v>
      </c>
      <c r="D55" s="72">
        <f t="shared" si="34"/>
        <v>0.4945914022567689</v>
      </c>
      <c r="E55" s="99">
        <f t="shared" si="27"/>
        <v>4671177981.05188</v>
      </c>
      <c r="F55" s="43">
        <f t="shared" si="28"/>
        <v>3.001</v>
      </c>
      <c r="G55" s="71">
        <f t="shared" si="29"/>
        <v>34.71</v>
      </c>
      <c r="H55" s="71">
        <f t="shared" si="30"/>
        <v>5.051</v>
      </c>
      <c r="I55" s="71">
        <f t="shared" si="31"/>
        <v>1.498</v>
      </c>
      <c r="J55" s="233">
        <f t="shared" si="32"/>
        <v>0.027</v>
      </c>
      <c r="K55" s="43">
        <f t="shared" si="18"/>
        <v>14018205121.13669</v>
      </c>
      <c r="L55" s="71">
        <f t="shared" si="19"/>
        <v>162136587722.31076</v>
      </c>
      <c r="M55" s="71">
        <f t="shared" si="20"/>
        <v>23594119982.293045</v>
      </c>
      <c r="N55" s="71">
        <f t="shared" si="21"/>
        <v>6997424615.615716</v>
      </c>
      <c r="O55" s="233">
        <f t="shared" si="22"/>
        <v>126121805.48840076</v>
      </c>
      <c r="P55" s="74">
        <v>1</v>
      </c>
      <c r="R55" s="216">
        <f t="shared" si="35"/>
        <v>9444519172.265799</v>
      </c>
    </row>
    <row r="56" spans="1:18" ht="12.75">
      <c r="A56" s="71">
        <v>2016</v>
      </c>
      <c r="B56" s="324"/>
      <c r="C56" s="44">
        <f t="shared" si="33"/>
        <v>20614106.40450921</v>
      </c>
      <c r="D56" s="72">
        <f t="shared" si="34"/>
        <v>0.49451949879871876</v>
      </c>
      <c r="E56" s="99">
        <f t="shared" si="27"/>
        <v>4717203876.33841</v>
      </c>
      <c r="F56" s="43">
        <f t="shared" si="28"/>
        <v>3.001</v>
      </c>
      <c r="G56" s="71">
        <f t="shared" si="29"/>
        <v>34.71</v>
      </c>
      <c r="H56" s="71">
        <f t="shared" si="30"/>
        <v>5.051</v>
      </c>
      <c r="I56" s="71">
        <f t="shared" si="31"/>
        <v>1.498</v>
      </c>
      <c r="J56" s="233">
        <f t="shared" si="32"/>
        <v>0.027</v>
      </c>
      <c r="K56" s="43">
        <f t="shared" si="18"/>
        <v>14156328832.89157</v>
      </c>
      <c r="L56" s="71">
        <f t="shared" si="19"/>
        <v>163734146547.70624</v>
      </c>
      <c r="M56" s="71">
        <f t="shared" si="20"/>
        <v>23826596779.38531</v>
      </c>
      <c r="N56" s="71">
        <f t="shared" si="21"/>
        <v>7066371406.754939</v>
      </c>
      <c r="O56" s="233">
        <f t="shared" si="22"/>
        <v>127364504.66113707</v>
      </c>
      <c r="P56" s="74">
        <v>1</v>
      </c>
      <c r="R56" s="216">
        <f t="shared" si="35"/>
        <v>9538964363.988457</v>
      </c>
    </row>
    <row r="57" spans="1:18" ht="12.75">
      <c r="A57" s="71">
        <v>2017</v>
      </c>
      <c r="B57" s="324"/>
      <c r="C57" s="44">
        <f t="shared" si="33"/>
        <v>20923318.000576846</v>
      </c>
      <c r="D57" s="72">
        <f t="shared" si="34"/>
        <v>0.4944300296391839</v>
      </c>
      <c r="E57" s="99">
        <f t="shared" si="27"/>
        <v>4763513937.546071</v>
      </c>
      <c r="F57" s="43">
        <f t="shared" si="28"/>
        <v>3.001</v>
      </c>
      <c r="G57" s="71">
        <f t="shared" si="29"/>
        <v>34.71</v>
      </c>
      <c r="H57" s="71">
        <f t="shared" si="30"/>
        <v>5.051</v>
      </c>
      <c r="I57" s="71">
        <f t="shared" si="31"/>
        <v>1.498</v>
      </c>
      <c r="J57" s="233">
        <f t="shared" si="32"/>
        <v>0.027</v>
      </c>
      <c r="K57" s="43">
        <f t="shared" si="18"/>
        <v>14295305326.575758</v>
      </c>
      <c r="L57" s="71">
        <f t="shared" si="19"/>
        <v>165341568772.22412</v>
      </c>
      <c r="M57" s="71">
        <f t="shared" si="20"/>
        <v>24060508898.545204</v>
      </c>
      <c r="N57" s="71">
        <f t="shared" si="21"/>
        <v>7135743878.444015</v>
      </c>
      <c r="O57" s="233">
        <f t="shared" si="22"/>
        <v>128614876.31374392</v>
      </c>
      <c r="P57" s="74">
        <v>1</v>
      </c>
      <c r="R57" s="216">
        <f t="shared" si="35"/>
        <v>9634354007.628342</v>
      </c>
    </row>
    <row r="58" spans="1:18" ht="12.75">
      <c r="A58" s="71">
        <v>2018</v>
      </c>
      <c r="B58" s="324"/>
      <c r="C58" s="44">
        <f t="shared" si="33"/>
        <v>21237167.770585496</v>
      </c>
      <c r="D58" s="72">
        <f t="shared" si="34"/>
        <v>0.4943223959036617</v>
      </c>
      <c r="E58" s="99">
        <f t="shared" si="27"/>
        <v>4810101725.595237</v>
      </c>
      <c r="F58" s="43">
        <f t="shared" si="28"/>
        <v>3.001</v>
      </c>
      <c r="G58" s="71">
        <f t="shared" si="29"/>
        <v>34.71</v>
      </c>
      <c r="H58" s="71">
        <f t="shared" si="30"/>
        <v>5.051</v>
      </c>
      <c r="I58" s="71">
        <f t="shared" si="31"/>
        <v>1.498</v>
      </c>
      <c r="J58" s="233">
        <f t="shared" si="32"/>
        <v>0.027</v>
      </c>
      <c r="K58" s="43">
        <f t="shared" si="18"/>
        <v>14435115278.511305</v>
      </c>
      <c r="L58" s="71">
        <f t="shared" si="19"/>
        <v>166958630895.41068</v>
      </c>
      <c r="M58" s="71">
        <f t="shared" si="20"/>
        <v>24295823815.98154</v>
      </c>
      <c r="N58" s="71">
        <f t="shared" si="21"/>
        <v>7205532384.941665</v>
      </c>
      <c r="O58" s="233">
        <f t="shared" si="22"/>
        <v>129872746.5910714</v>
      </c>
      <c r="P58" s="74">
        <v>1</v>
      </c>
      <c r="R58" s="216">
        <f t="shared" si="35"/>
        <v>9730697547.704626</v>
      </c>
    </row>
    <row r="59" spans="1:18" ht="12.75">
      <c r="A59" s="71">
        <v>2019</v>
      </c>
      <c r="B59" s="324"/>
      <c r="C59" s="44">
        <f t="shared" si="33"/>
        <v>21555725.287144277</v>
      </c>
      <c r="D59" s="72">
        <f t="shared" si="34"/>
        <v>0.49419596318571307</v>
      </c>
      <c r="E59" s="99">
        <f t="shared" si="27"/>
        <v>4856960161.527311</v>
      </c>
      <c r="F59" s="43">
        <f t="shared" si="28"/>
        <v>3.001</v>
      </c>
      <c r="G59" s="71">
        <f t="shared" si="29"/>
        <v>34.71</v>
      </c>
      <c r="H59" s="71">
        <f t="shared" si="30"/>
        <v>5.051</v>
      </c>
      <c r="I59" s="71">
        <f t="shared" si="31"/>
        <v>1.498</v>
      </c>
      <c r="J59" s="233">
        <f t="shared" si="32"/>
        <v>0.027</v>
      </c>
      <c r="K59" s="43">
        <f t="shared" si="18"/>
        <v>14575737444.743462</v>
      </c>
      <c r="L59" s="71">
        <f t="shared" si="19"/>
        <v>168585087206.61298</v>
      </c>
      <c r="M59" s="71">
        <f t="shared" si="20"/>
        <v>24532505775.87445</v>
      </c>
      <c r="N59" s="71">
        <f t="shared" si="21"/>
        <v>7275726321.967913</v>
      </c>
      <c r="O59" s="233">
        <f t="shared" si="22"/>
        <v>131137924.3612374</v>
      </c>
      <c r="P59" s="74">
        <v>1</v>
      </c>
      <c r="R59" s="216">
        <f t="shared" si="35"/>
        <v>9828004523.181673</v>
      </c>
    </row>
    <row r="60" spans="1:18" ht="13.5" thickBot="1">
      <c r="A60" s="71">
        <v>2020</v>
      </c>
      <c r="B60" s="324"/>
      <c r="C60" s="44">
        <f t="shared" si="33"/>
        <v>21879061.16645144</v>
      </c>
      <c r="D60" s="72">
        <f t="shared" si="34"/>
        <v>0.49405005988212963</v>
      </c>
      <c r="E60" s="99">
        <f t="shared" si="27"/>
        <v>4904081485.431745</v>
      </c>
      <c r="F60" s="43">
        <f t="shared" si="28"/>
        <v>3.001</v>
      </c>
      <c r="G60" s="71">
        <f t="shared" si="29"/>
        <v>34.71</v>
      </c>
      <c r="H60" s="71">
        <f t="shared" si="30"/>
        <v>5.051</v>
      </c>
      <c r="I60" s="71">
        <f t="shared" si="31"/>
        <v>1.498</v>
      </c>
      <c r="J60" s="233">
        <f t="shared" si="32"/>
        <v>0.027</v>
      </c>
      <c r="K60" s="43">
        <f t="shared" si="18"/>
        <v>14717148537.780664</v>
      </c>
      <c r="L60" s="71">
        <f t="shared" si="19"/>
        <v>170220668359.33585</v>
      </c>
      <c r="M60" s="71">
        <f t="shared" si="20"/>
        <v>24770515582.91574</v>
      </c>
      <c r="N60" s="71">
        <f t="shared" si="21"/>
        <v>7346314065.176753</v>
      </c>
      <c r="O60" s="233">
        <f t="shared" si="22"/>
        <v>132410200.1066571</v>
      </c>
      <c r="P60" s="74">
        <v>1</v>
      </c>
      <c r="R60" s="217">
        <f t="shared" si="35"/>
        <v>9926284568.41349</v>
      </c>
    </row>
    <row r="61" spans="1:18" ht="12.75">
      <c r="A61" s="75">
        <v>2005</v>
      </c>
      <c r="B61" s="327" t="s">
        <v>59</v>
      </c>
      <c r="C61" s="102">
        <f>$C$2</f>
        <v>17500000</v>
      </c>
      <c r="D61" s="76">
        <v>0.01</v>
      </c>
      <c r="E61" s="100">
        <f t="shared" si="27"/>
        <v>85500000</v>
      </c>
      <c r="F61" s="234">
        <v>0.027</v>
      </c>
      <c r="G61" s="75">
        <v>0.35</v>
      </c>
      <c r="H61" s="75">
        <v>0.045</v>
      </c>
      <c r="I61" s="75">
        <v>0</v>
      </c>
      <c r="J61" s="235">
        <v>0</v>
      </c>
      <c r="K61" s="234">
        <f t="shared" si="18"/>
        <v>2308500</v>
      </c>
      <c r="L61" s="75">
        <f t="shared" si="19"/>
        <v>29924999.999999996</v>
      </c>
      <c r="M61" s="75">
        <f t="shared" si="20"/>
        <v>3847500</v>
      </c>
      <c r="N61" s="75">
        <f t="shared" si="21"/>
        <v>0</v>
      </c>
      <c r="O61" s="235">
        <f t="shared" si="22"/>
        <v>0</v>
      </c>
      <c r="P61" s="219" t="s">
        <v>53</v>
      </c>
      <c r="R61" s="215">
        <f>$C$4</f>
        <v>8550000000</v>
      </c>
    </row>
    <row r="62" spans="1:18" ht="12.75">
      <c r="A62" s="75">
        <v>2006</v>
      </c>
      <c r="B62" s="327"/>
      <c r="C62" s="102">
        <f>C61*(1+$C$3)</f>
        <v>17762500</v>
      </c>
      <c r="D62" s="76">
        <f aca="true" t="shared" si="36" ref="D62:D76">D61*$C$6</f>
        <v>0.0105</v>
      </c>
      <c r="E62" s="100">
        <f t="shared" si="27"/>
        <v>90672750</v>
      </c>
      <c r="F62" s="234">
        <f>F61*$P62</f>
        <v>0.027</v>
      </c>
      <c r="G62" s="75">
        <f aca="true" t="shared" si="37" ref="G62:G76">G61*$P62</f>
        <v>0.35</v>
      </c>
      <c r="H62" s="75">
        <f aca="true" t="shared" si="38" ref="H62:H76">H61*$P62</f>
        <v>0.045</v>
      </c>
      <c r="I62" s="75">
        <f aca="true" t="shared" si="39" ref="I62:I76">I61*$P62</f>
        <v>0</v>
      </c>
      <c r="J62" s="235">
        <f aca="true" t="shared" si="40" ref="J62:J76">J61*$P62</f>
        <v>0</v>
      </c>
      <c r="K62" s="234">
        <f t="shared" si="18"/>
        <v>2448164.25</v>
      </c>
      <c r="L62" s="75">
        <f t="shared" si="19"/>
        <v>31735462.499999996</v>
      </c>
      <c r="M62" s="75">
        <f t="shared" si="20"/>
        <v>4080273.75</v>
      </c>
      <c r="N62" s="75">
        <f t="shared" si="21"/>
        <v>0</v>
      </c>
      <c r="O62" s="235">
        <f t="shared" si="22"/>
        <v>0</v>
      </c>
      <c r="P62" s="77">
        <v>1</v>
      </c>
      <c r="R62" s="216">
        <f>R61*(1+$C$5)</f>
        <v>8635500000</v>
      </c>
    </row>
    <row r="63" spans="1:18" ht="12.75">
      <c r="A63" s="75">
        <v>2007</v>
      </c>
      <c r="B63" s="327"/>
      <c r="C63" s="102">
        <f aca="true" t="shared" si="41" ref="C63:C76">C62*(1+$C$3)</f>
        <v>18028937.5</v>
      </c>
      <c r="D63" s="76">
        <f t="shared" si="36"/>
        <v>0.011025000000000002</v>
      </c>
      <c r="E63" s="100">
        <f t="shared" si="27"/>
        <v>96158451.37500001</v>
      </c>
      <c r="F63" s="234">
        <f aca="true" t="shared" si="42" ref="F63:F76">F62*$P63</f>
        <v>0.027</v>
      </c>
      <c r="G63" s="75">
        <f t="shared" si="37"/>
        <v>0.35</v>
      </c>
      <c r="H63" s="75">
        <f t="shared" si="38"/>
        <v>0.045</v>
      </c>
      <c r="I63" s="75">
        <f t="shared" si="39"/>
        <v>0</v>
      </c>
      <c r="J63" s="235">
        <f t="shared" si="40"/>
        <v>0</v>
      </c>
      <c r="K63" s="234">
        <f t="shared" si="18"/>
        <v>2596278.187125</v>
      </c>
      <c r="L63" s="75">
        <f t="shared" si="19"/>
        <v>33655457.98125</v>
      </c>
      <c r="M63" s="75">
        <f t="shared" si="20"/>
        <v>4327130.311875001</v>
      </c>
      <c r="N63" s="75">
        <f t="shared" si="21"/>
        <v>0</v>
      </c>
      <c r="O63" s="235">
        <f t="shared" si="22"/>
        <v>0</v>
      </c>
      <c r="P63" s="77">
        <v>1</v>
      </c>
      <c r="R63" s="216">
        <f aca="true" t="shared" si="43" ref="R63:R76">R62*(1+$C$5)</f>
        <v>8721855000</v>
      </c>
    </row>
    <row r="64" spans="1:18" ht="12.75">
      <c r="A64" s="75">
        <v>2008</v>
      </c>
      <c r="B64" s="327"/>
      <c r="C64" s="102">
        <f t="shared" si="41"/>
        <v>18299371.5625</v>
      </c>
      <c r="D64" s="76">
        <f t="shared" si="36"/>
        <v>0.011576250000000003</v>
      </c>
      <c r="E64" s="100">
        <f t="shared" si="27"/>
        <v>101976037.68318753</v>
      </c>
      <c r="F64" s="234">
        <f t="shared" si="42"/>
        <v>0.027</v>
      </c>
      <c r="G64" s="75">
        <f t="shared" si="37"/>
        <v>0.35</v>
      </c>
      <c r="H64" s="75">
        <f t="shared" si="38"/>
        <v>0.045</v>
      </c>
      <c r="I64" s="75">
        <f t="shared" si="39"/>
        <v>0</v>
      </c>
      <c r="J64" s="235">
        <f t="shared" si="40"/>
        <v>0</v>
      </c>
      <c r="K64" s="234">
        <f t="shared" si="18"/>
        <v>2753353.0174460635</v>
      </c>
      <c r="L64" s="75">
        <f t="shared" si="19"/>
        <v>35691613.189115636</v>
      </c>
      <c r="M64" s="75">
        <f t="shared" si="20"/>
        <v>4588921.695743439</v>
      </c>
      <c r="N64" s="75">
        <f t="shared" si="21"/>
        <v>0</v>
      </c>
      <c r="O64" s="235">
        <f t="shared" si="22"/>
        <v>0</v>
      </c>
      <c r="P64" s="77">
        <v>1</v>
      </c>
      <c r="R64" s="216">
        <f t="shared" si="43"/>
        <v>8809073550</v>
      </c>
    </row>
    <row r="65" spans="1:18" ht="12.75">
      <c r="A65" s="75">
        <v>2009</v>
      </c>
      <c r="B65" s="327"/>
      <c r="C65" s="102">
        <f t="shared" si="41"/>
        <v>18573862.135937497</v>
      </c>
      <c r="D65" s="76">
        <f t="shared" si="36"/>
        <v>0.012155062500000004</v>
      </c>
      <c r="E65" s="100">
        <f t="shared" si="27"/>
        <v>108145587.96302038</v>
      </c>
      <c r="F65" s="234">
        <f t="shared" si="42"/>
        <v>0.027</v>
      </c>
      <c r="G65" s="75">
        <f t="shared" si="37"/>
        <v>0.35</v>
      </c>
      <c r="H65" s="75">
        <f t="shared" si="38"/>
        <v>0.045</v>
      </c>
      <c r="I65" s="75">
        <f t="shared" si="39"/>
        <v>0</v>
      </c>
      <c r="J65" s="235">
        <f t="shared" si="40"/>
        <v>0</v>
      </c>
      <c r="K65" s="234">
        <f t="shared" si="18"/>
        <v>2919930.87500155</v>
      </c>
      <c r="L65" s="75">
        <f t="shared" si="19"/>
        <v>37850955.78705713</v>
      </c>
      <c r="M65" s="75">
        <f t="shared" si="20"/>
        <v>4866551.458335917</v>
      </c>
      <c r="N65" s="75">
        <f t="shared" si="21"/>
        <v>0</v>
      </c>
      <c r="O65" s="235">
        <f t="shared" si="22"/>
        <v>0</v>
      </c>
      <c r="P65" s="77">
        <v>1</v>
      </c>
      <c r="R65" s="216">
        <f t="shared" si="43"/>
        <v>8897164285.5</v>
      </c>
    </row>
    <row r="66" spans="1:18" ht="12.75">
      <c r="A66" s="75">
        <v>2010</v>
      </c>
      <c r="B66" s="327"/>
      <c r="C66" s="102">
        <f t="shared" si="41"/>
        <v>18852470.067976557</v>
      </c>
      <c r="D66" s="76">
        <f t="shared" si="36"/>
        <v>0.012762815625000005</v>
      </c>
      <c r="E66" s="100">
        <f t="shared" si="27"/>
        <v>114688396.03478311</v>
      </c>
      <c r="F66" s="234">
        <f t="shared" si="42"/>
        <v>0.027</v>
      </c>
      <c r="G66" s="75">
        <f t="shared" si="37"/>
        <v>0.35</v>
      </c>
      <c r="H66" s="75">
        <f t="shared" si="38"/>
        <v>0.045</v>
      </c>
      <c r="I66" s="75">
        <f t="shared" si="39"/>
        <v>0</v>
      </c>
      <c r="J66" s="235">
        <f t="shared" si="40"/>
        <v>0</v>
      </c>
      <c r="K66" s="234">
        <f t="shared" si="18"/>
        <v>3096586.692939144</v>
      </c>
      <c r="L66" s="75">
        <f t="shared" si="19"/>
        <v>40140938.612174086</v>
      </c>
      <c r="M66" s="75">
        <f t="shared" si="20"/>
        <v>5160977.82156524</v>
      </c>
      <c r="N66" s="75">
        <f t="shared" si="21"/>
        <v>0</v>
      </c>
      <c r="O66" s="235">
        <f t="shared" si="22"/>
        <v>0</v>
      </c>
      <c r="P66" s="77">
        <v>1</v>
      </c>
      <c r="R66" s="216">
        <f t="shared" si="43"/>
        <v>8986135928.355</v>
      </c>
    </row>
    <row r="67" spans="1:18" ht="12.75">
      <c r="A67" s="75">
        <v>2011</v>
      </c>
      <c r="B67" s="327"/>
      <c r="C67" s="102">
        <f t="shared" si="41"/>
        <v>19135257.118996203</v>
      </c>
      <c r="D67" s="76">
        <f t="shared" si="36"/>
        <v>0.013400956406250006</v>
      </c>
      <c r="E67" s="100">
        <f t="shared" si="27"/>
        <v>121627043.9948875</v>
      </c>
      <c r="F67" s="234">
        <f t="shared" si="42"/>
        <v>0.027</v>
      </c>
      <c r="G67" s="75">
        <f t="shared" si="37"/>
        <v>0.35</v>
      </c>
      <c r="H67" s="75">
        <f t="shared" si="38"/>
        <v>0.045</v>
      </c>
      <c r="I67" s="75">
        <f t="shared" si="39"/>
        <v>0</v>
      </c>
      <c r="J67" s="235">
        <f t="shared" si="40"/>
        <v>0</v>
      </c>
      <c r="K67" s="234">
        <f t="shared" si="18"/>
        <v>3283930.1878619627</v>
      </c>
      <c r="L67" s="75">
        <f t="shared" si="19"/>
        <v>42569465.39821062</v>
      </c>
      <c r="M67" s="75">
        <f t="shared" si="20"/>
        <v>5473216.979769938</v>
      </c>
      <c r="N67" s="75">
        <f t="shared" si="21"/>
        <v>0</v>
      </c>
      <c r="O67" s="235">
        <f t="shared" si="22"/>
        <v>0</v>
      </c>
      <c r="P67" s="77">
        <v>1</v>
      </c>
      <c r="R67" s="216">
        <f t="shared" si="43"/>
        <v>9075997287.63855</v>
      </c>
    </row>
    <row r="68" spans="1:18" ht="12.75">
      <c r="A68" s="75">
        <v>2012</v>
      </c>
      <c r="B68" s="327"/>
      <c r="C68" s="102">
        <f t="shared" si="41"/>
        <v>19422285.975781143</v>
      </c>
      <c r="D68" s="76">
        <f t="shared" si="36"/>
        <v>0.014071004226562506</v>
      </c>
      <c r="E68" s="100">
        <f t="shared" si="27"/>
        <v>128985480.15657818</v>
      </c>
      <c r="F68" s="234">
        <f t="shared" si="42"/>
        <v>0.027</v>
      </c>
      <c r="G68" s="75">
        <f t="shared" si="37"/>
        <v>0.35</v>
      </c>
      <c r="H68" s="75">
        <f t="shared" si="38"/>
        <v>0.045</v>
      </c>
      <c r="I68" s="75">
        <f t="shared" si="39"/>
        <v>0</v>
      </c>
      <c r="J68" s="235">
        <f t="shared" si="40"/>
        <v>0</v>
      </c>
      <c r="K68" s="234">
        <f t="shared" si="18"/>
        <v>3482607.9642276107</v>
      </c>
      <c r="L68" s="75">
        <f t="shared" si="19"/>
        <v>45144918.05480236</v>
      </c>
      <c r="M68" s="75">
        <f t="shared" si="20"/>
        <v>5804346.607046018</v>
      </c>
      <c r="N68" s="75">
        <f t="shared" si="21"/>
        <v>0</v>
      </c>
      <c r="O68" s="235">
        <f t="shared" si="22"/>
        <v>0</v>
      </c>
      <c r="P68" s="77">
        <v>1</v>
      </c>
      <c r="R68" s="216">
        <f t="shared" si="43"/>
        <v>9166757260.514935</v>
      </c>
    </row>
    <row r="69" spans="1:18" ht="12.75">
      <c r="A69" s="75">
        <v>2013</v>
      </c>
      <c r="B69" s="327"/>
      <c r="C69" s="102">
        <f t="shared" si="41"/>
        <v>19713620.26541786</v>
      </c>
      <c r="D69" s="76">
        <f t="shared" si="36"/>
        <v>0.014774554437890632</v>
      </c>
      <c r="E69" s="100">
        <f t="shared" si="27"/>
        <v>136789101.70605117</v>
      </c>
      <c r="F69" s="234">
        <f t="shared" si="42"/>
        <v>0.027</v>
      </c>
      <c r="G69" s="75">
        <f t="shared" si="37"/>
        <v>0.35</v>
      </c>
      <c r="H69" s="75">
        <f t="shared" si="38"/>
        <v>0.045</v>
      </c>
      <c r="I69" s="75">
        <f t="shared" si="39"/>
        <v>0</v>
      </c>
      <c r="J69" s="235">
        <f t="shared" si="40"/>
        <v>0</v>
      </c>
      <c r="K69" s="234">
        <f t="shared" si="18"/>
        <v>3693305.7460633814</v>
      </c>
      <c r="L69" s="75">
        <f t="shared" si="19"/>
        <v>47876185.59711791</v>
      </c>
      <c r="M69" s="75">
        <f t="shared" si="20"/>
        <v>6155509.576772302</v>
      </c>
      <c r="N69" s="75">
        <f t="shared" si="21"/>
        <v>0</v>
      </c>
      <c r="O69" s="235">
        <f t="shared" si="22"/>
        <v>0</v>
      </c>
      <c r="P69" s="77">
        <v>1</v>
      </c>
      <c r="R69" s="216">
        <f t="shared" si="43"/>
        <v>9258424833.120085</v>
      </c>
    </row>
    <row r="70" spans="1:18" ht="12.75">
      <c r="A70" s="75">
        <v>2014</v>
      </c>
      <c r="B70" s="327"/>
      <c r="C70" s="102">
        <f t="shared" si="41"/>
        <v>20009324.569399126</v>
      </c>
      <c r="D70" s="76">
        <f t="shared" si="36"/>
        <v>0.015513282159785164</v>
      </c>
      <c r="E70" s="100">
        <f t="shared" si="27"/>
        <v>145064842.3592673</v>
      </c>
      <c r="F70" s="234">
        <f t="shared" si="42"/>
        <v>0.027</v>
      </c>
      <c r="G70" s="75">
        <f t="shared" si="37"/>
        <v>0.35</v>
      </c>
      <c r="H70" s="75">
        <f t="shared" si="38"/>
        <v>0.045</v>
      </c>
      <c r="I70" s="75">
        <f t="shared" si="39"/>
        <v>0</v>
      </c>
      <c r="J70" s="235">
        <f t="shared" si="40"/>
        <v>0</v>
      </c>
      <c r="K70" s="234">
        <f t="shared" si="18"/>
        <v>3916750.743700217</v>
      </c>
      <c r="L70" s="75">
        <f t="shared" si="19"/>
        <v>50772694.82574355</v>
      </c>
      <c r="M70" s="75">
        <f t="shared" si="20"/>
        <v>6527917.9061670285</v>
      </c>
      <c r="N70" s="75">
        <f t="shared" si="21"/>
        <v>0</v>
      </c>
      <c r="O70" s="235">
        <f t="shared" si="22"/>
        <v>0</v>
      </c>
      <c r="P70" s="77">
        <v>1</v>
      </c>
      <c r="R70" s="216">
        <f t="shared" si="43"/>
        <v>9351009081.451286</v>
      </c>
    </row>
    <row r="71" spans="1:18" ht="12.75">
      <c r="A71" s="75">
        <v>2015</v>
      </c>
      <c r="B71" s="327"/>
      <c r="C71" s="102">
        <f t="shared" si="41"/>
        <v>20309464.43794011</v>
      </c>
      <c r="D71" s="76">
        <f t="shared" si="36"/>
        <v>0.016288946267774423</v>
      </c>
      <c r="E71" s="100">
        <f t="shared" si="27"/>
        <v>153841265.32200295</v>
      </c>
      <c r="F71" s="234">
        <f t="shared" si="42"/>
        <v>0.027</v>
      </c>
      <c r="G71" s="75">
        <f t="shared" si="37"/>
        <v>0.35</v>
      </c>
      <c r="H71" s="75">
        <f t="shared" si="38"/>
        <v>0.045</v>
      </c>
      <c r="I71" s="75">
        <f t="shared" si="39"/>
        <v>0</v>
      </c>
      <c r="J71" s="235">
        <f t="shared" si="40"/>
        <v>0</v>
      </c>
      <c r="K71" s="234">
        <f t="shared" si="18"/>
        <v>4153714.1636940795</v>
      </c>
      <c r="L71" s="75">
        <f t="shared" si="19"/>
        <v>53844442.86270103</v>
      </c>
      <c r="M71" s="75">
        <f t="shared" si="20"/>
        <v>6922856.939490132</v>
      </c>
      <c r="N71" s="75">
        <f t="shared" si="21"/>
        <v>0</v>
      </c>
      <c r="O71" s="235">
        <f t="shared" si="22"/>
        <v>0</v>
      </c>
      <c r="P71" s="77">
        <v>1</v>
      </c>
      <c r="R71" s="216">
        <f t="shared" si="43"/>
        <v>9444519172.265799</v>
      </c>
    </row>
    <row r="72" spans="1:18" ht="12.75">
      <c r="A72" s="75">
        <v>2016</v>
      </c>
      <c r="B72" s="327"/>
      <c r="C72" s="102">
        <f t="shared" si="41"/>
        <v>20614106.40450921</v>
      </c>
      <c r="D72" s="76">
        <f t="shared" si="36"/>
        <v>0.017103393581163143</v>
      </c>
      <c r="E72" s="100">
        <f t="shared" si="27"/>
        <v>163148661.87398413</v>
      </c>
      <c r="F72" s="234">
        <f t="shared" si="42"/>
        <v>0.027</v>
      </c>
      <c r="G72" s="75">
        <f t="shared" si="37"/>
        <v>0.35</v>
      </c>
      <c r="H72" s="75">
        <f t="shared" si="38"/>
        <v>0.045</v>
      </c>
      <c r="I72" s="75">
        <f t="shared" si="39"/>
        <v>0</v>
      </c>
      <c r="J72" s="235">
        <f t="shared" si="40"/>
        <v>0</v>
      </c>
      <c r="K72" s="234">
        <f t="shared" si="18"/>
        <v>4405013.870597571</v>
      </c>
      <c r="L72" s="75">
        <f t="shared" si="19"/>
        <v>57102031.65589444</v>
      </c>
      <c r="M72" s="75">
        <f t="shared" si="20"/>
        <v>7341689.784329286</v>
      </c>
      <c r="N72" s="75">
        <f t="shared" si="21"/>
        <v>0</v>
      </c>
      <c r="O72" s="235">
        <f t="shared" si="22"/>
        <v>0</v>
      </c>
      <c r="P72" s="77">
        <v>1</v>
      </c>
      <c r="R72" s="216">
        <f t="shared" si="43"/>
        <v>9538964363.988457</v>
      </c>
    </row>
    <row r="73" spans="1:18" ht="12.75">
      <c r="A73" s="75">
        <v>2017</v>
      </c>
      <c r="B73" s="327"/>
      <c r="C73" s="102">
        <f t="shared" si="41"/>
        <v>20923318.000576846</v>
      </c>
      <c r="D73" s="76">
        <f t="shared" si="36"/>
        <v>0.0179585632602213</v>
      </c>
      <c r="E73" s="100">
        <f t="shared" si="27"/>
        <v>173019155.9173602</v>
      </c>
      <c r="F73" s="234">
        <f t="shared" si="42"/>
        <v>0.027</v>
      </c>
      <c r="G73" s="75">
        <f t="shared" si="37"/>
        <v>0.35</v>
      </c>
      <c r="H73" s="75">
        <f t="shared" si="38"/>
        <v>0.045</v>
      </c>
      <c r="I73" s="75">
        <f t="shared" si="39"/>
        <v>0</v>
      </c>
      <c r="J73" s="235">
        <f t="shared" si="40"/>
        <v>0</v>
      </c>
      <c r="K73" s="234">
        <f t="shared" si="18"/>
        <v>4671517.209768725</v>
      </c>
      <c r="L73" s="75">
        <f t="shared" si="19"/>
        <v>60556704.57107606</v>
      </c>
      <c r="M73" s="75">
        <f t="shared" si="20"/>
        <v>7785862.016281208</v>
      </c>
      <c r="N73" s="75">
        <f t="shared" si="21"/>
        <v>0</v>
      </c>
      <c r="O73" s="235">
        <f t="shared" si="22"/>
        <v>0</v>
      </c>
      <c r="P73" s="77">
        <v>1</v>
      </c>
      <c r="R73" s="216">
        <f t="shared" si="43"/>
        <v>9634354007.628342</v>
      </c>
    </row>
    <row r="74" spans="1:18" ht="12.75">
      <c r="A74" s="75">
        <v>2018</v>
      </c>
      <c r="B74" s="327"/>
      <c r="C74" s="102">
        <f t="shared" si="41"/>
        <v>21237167.770585496</v>
      </c>
      <c r="D74" s="76">
        <f t="shared" si="36"/>
        <v>0.018856491423232365</v>
      </c>
      <c r="E74" s="100">
        <f t="shared" si="27"/>
        <v>183486814.85036048</v>
      </c>
      <c r="F74" s="234">
        <f t="shared" si="42"/>
        <v>0.027</v>
      </c>
      <c r="G74" s="75">
        <f t="shared" si="37"/>
        <v>0.35</v>
      </c>
      <c r="H74" s="75">
        <f t="shared" si="38"/>
        <v>0.045</v>
      </c>
      <c r="I74" s="75">
        <f t="shared" si="39"/>
        <v>0</v>
      </c>
      <c r="J74" s="235">
        <f t="shared" si="40"/>
        <v>0</v>
      </c>
      <c r="K74" s="234">
        <f t="shared" si="18"/>
        <v>4954144.000959733</v>
      </c>
      <c r="L74" s="75">
        <f t="shared" si="19"/>
        <v>64220385.197626166</v>
      </c>
      <c r="M74" s="75">
        <f t="shared" si="20"/>
        <v>8256906.668266222</v>
      </c>
      <c r="N74" s="75">
        <f t="shared" si="21"/>
        <v>0</v>
      </c>
      <c r="O74" s="235">
        <f t="shared" si="22"/>
        <v>0</v>
      </c>
      <c r="P74" s="77">
        <v>1</v>
      </c>
      <c r="R74" s="216">
        <f t="shared" si="43"/>
        <v>9730697547.704626</v>
      </c>
    </row>
    <row r="75" spans="1:18" ht="12.75">
      <c r="A75" s="75">
        <v>2019</v>
      </c>
      <c r="B75" s="327"/>
      <c r="C75" s="102">
        <f t="shared" si="41"/>
        <v>21555725.287144277</v>
      </c>
      <c r="D75" s="76">
        <f t="shared" si="36"/>
        <v>0.019799315994393985</v>
      </c>
      <c r="E75" s="100">
        <f t="shared" si="27"/>
        <v>194587767.14880732</v>
      </c>
      <c r="F75" s="234">
        <f t="shared" si="42"/>
        <v>0.027</v>
      </c>
      <c r="G75" s="75">
        <f t="shared" si="37"/>
        <v>0.35</v>
      </c>
      <c r="H75" s="75">
        <f t="shared" si="38"/>
        <v>0.045</v>
      </c>
      <c r="I75" s="75">
        <f t="shared" si="39"/>
        <v>0</v>
      </c>
      <c r="J75" s="235">
        <f t="shared" si="40"/>
        <v>0</v>
      </c>
      <c r="K75" s="234">
        <f t="shared" si="18"/>
        <v>5253869.713017797</v>
      </c>
      <c r="L75" s="75">
        <f t="shared" si="19"/>
        <v>68105718.50208256</v>
      </c>
      <c r="M75" s="75">
        <f t="shared" si="20"/>
        <v>8756449.52169633</v>
      </c>
      <c r="N75" s="75">
        <f t="shared" si="21"/>
        <v>0</v>
      </c>
      <c r="O75" s="235">
        <f t="shared" si="22"/>
        <v>0</v>
      </c>
      <c r="P75" s="77">
        <v>1</v>
      </c>
      <c r="R75" s="216">
        <f t="shared" si="43"/>
        <v>9828004523.181673</v>
      </c>
    </row>
    <row r="76" spans="1:18" ht="13.5" thickBot="1">
      <c r="A76" s="75">
        <v>2020</v>
      </c>
      <c r="B76" s="327"/>
      <c r="C76" s="102">
        <f t="shared" si="41"/>
        <v>21879061.16645144</v>
      </c>
      <c r="D76" s="76">
        <f t="shared" si="36"/>
        <v>0.020789281794113684</v>
      </c>
      <c r="E76" s="100">
        <f t="shared" si="27"/>
        <v>206360327.06131017</v>
      </c>
      <c r="F76" s="234">
        <f t="shared" si="42"/>
        <v>0.027</v>
      </c>
      <c r="G76" s="75">
        <f t="shared" si="37"/>
        <v>0.35</v>
      </c>
      <c r="H76" s="75">
        <f t="shared" si="38"/>
        <v>0.045</v>
      </c>
      <c r="I76" s="75">
        <f t="shared" si="39"/>
        <v>0</v>
      </c>
      <c r="J76" s="235">
        <f t="shared" si="40"/>
        <v>0</v>
      </c>
      <c r="K76" s="234">
        <f t="shared" si="18"/>
        <v>5571728.830655375</v>
      </c>
      <c r="L76" s="75">
        <f t="shared" si="19"/>
        <v>72226114.47145855</v>
      </c>
      <c r="M76" s="75">
        <f t="shared" si="20"/>
        <v>9286214.717758957</v>
      </c>
      <c r="N76" s="75">
        <f t="shared" si="21"/>
        <v>0</v>
      </c>
      <c r="O76" s="235">
        <f t="shared" si="22"/>
        <v>0</v>
      </c>
      <c r="P76" s="77">
        <v>1</v>
      </c>
      <c r="R76" s="217">
        <f t="shared" si="43"/>
        <v>9926284568.41349</v>
      </c>
    </row>
    <row r="77" spans="1:18" ht="12.75">
      <c r="A77" s="67">
        <v>2005</v>
      </c>
      <c r="B77" s="322" t="s">
        <v>60</v>
      </c>
      <c r="C77" s="101">
        <f>$C$2</f>
        <v>17500000</v>
      </c>
      <c r="D77" s="78">
        <v>0.05</v>
      </c>
      <c r="E77" s="97">
        <f aca="true" t="shared" si="44" ref="E77:E92">R77*D77</f>
        <v>427500000</v>
      </c>
      <c r="F77" s="229">
        <v>0.42</v>
      </c>
      <c r="G77" s="67">
        <v>1.6</v>
      </c>
      <c r="H77" s="67">
        <v>0.15</v>
      </c>
      <c r="I77" s="67">
        <v>0.08</v>
      </c>
      <c r="J77" s="228">
        <v>0.014</v>
      </c>
      <c r="K77" s="229">
        <f t="shared" si="18"/>
        <v>179550000</v>
      </c>
      <c r="L77" s="67">
        <f t="shared" si="19"/>
        <v>684000000</v>
      </c>
      <c r="M77" s="67">
        <f t="shared" si="20"/>
        <v>64125000</v>
      </c>
      <c r="N77" s="67">
        <f t="shared" si="21"/>
        <v>34200000</v>
      </c>
      <c r="O77" s="228">
        <f t="shared" si="22"/>
        <v>5985000</v>
      </c>
      <c r="P77" s="218" t="s">
        <v>53</v>
      </c>
      <c r="R77" s="215">
        <f>$C$4</f>
        <v>8550000000</v>
      </c>
    </row>
    <row r="78" spans="1:18" ht="12.75">
      <c r="A78" s="67">
        <v>2006</v>
      </c>
      <c r="B78" s="322"/>
      <c r="C78" s="101">
        <f>C77*(1+$C$3)</f>
        <v>17762500</v>
      </c>
      <c r="D78" s="78">
        <f aca="true" t="shared" si="45" ref="D78:D87">D77*$C$7</f>
        <v>0.0475</v>
      </c>
      <c r="E78" s="97">
        <f t="shared" si="44"/>
        <v>410186250</v>
      </c>
      <c r="F78" s="229">
        <f>F77*$P78</f>
        <v>0.42</v>
      </c>
      <c r="G78" s="67">
        <f aca="true" t="shared" si="46" ref="G78:G92">G77*$P78</f>
        <v>1.6</v>
      </c>
      <c r="H78" s="67">
        <f aca="true" t="shared" si="47" ref="H78:H92">H77*$P78</f>
        <v>0.15</v>
      </c>
      <c r="I78" s="67">
        <f aca="true" t="shared" si="48" ref="I78:I92">I77*$P78</f>
        <v>0.08</v>
      </c>
      <c r="J78" s="228">
        <f aca="true" t="shared" si="49" ref="J78:J92">J77*$P78</f>
        <v>0.014</v>
      </c>
      <c r="K78" s="229">
        <f t="shared" si="18"/>
        <v>172278225</v>
      </c>
      <c r="L78" s="67">
        <f t="shared" si="19"/>
        <v>656298000</v>
      </c>
      <c r="M78" s="67">
        <f t="shared" si="20"/>
        <v>61527937.5</v>
      </c>
      <c r="N78" s="67">
        <f t="shared" si="21"/>
        <v>32814900</v>
      </c>
      <c r="O78" s="228">
        <f t="shared" si="22"/>
        <v>5742607.5</v>
      </c>
      <c r="P78" s="79">
        <v>1</v>
      </c>
      <c r="R78" s="216">
        <f>R77*(1+$C$5)</f>
        <v>8635500000</v>
      </c>
    </row>
    <row r="79" spans="1:18" ht="12.75">
      <c r="A79" s="67">
        <v>2007</v>
      </c>
      <c r="B79" s="322"/>
      <c r="C79" s="101">
        <f aca="true" t="shared" si="50" ref="C79:C92">C78*(1+$C$3)</f>
        <v>18028937.5</v>
      </c>
      <c r="D79" s="78">
        <f t="shared" si="45"/>
        <v>0.045125</v>
      </c>
      <c r="E79" s="97">
        <f t="shared" si="44"/>
        <v>393573706.875</v>
      </c>
      <c r="F79" s="229">
        <f aca="true" t="shared" si="51" ref="F79:F92">F78*$P79</f>
        <v>0.42</v>
      </c>
      <c r="G79" s="67">
        <f t="shared" si="46"/>
        <v>1.6</v>
      </c>
      <c r="H79" s="67">
        <f t="shared" si="47"/>
        <v>0.15</v>
      </c>
      <c r="I79" s="67">
        <f t="shared" si="48"/>
        <v>0.08</v>
      </c>
      <c r="J79" s="228">
        <f t="shared" si="49"/>
        <v>0.014</v>
      </c>
      <c r="K79" s="229">
        <f t="shared" si="18"/>
        <v>165300956.8875</v>
      </c>
      <c r="L79" s="67">
        <f t="shared" si="19"/>
        <v>629717931</v>
      </c>
      <c r="M79" s="67">
        <f t="shared" si="20"/>
        <v>59036056.03125</v>
      </c>
      <c r="N79" s="67">
        <f t="shared" si="21"/>
        <v>31485896.55</v>
      </c>
      <c r="O79" s="228">
        <f t="shared" si="22"/>
        <v>5510031.89625</v>
      </c>
      <c r="P79" s="79">
        <v>1</v>
      </c>
      <c r="R79" s="216">
        <f aca="true" t="shared" si="52" ref="R79:R92">R78*(1+$C$5)</f>
        <v>8721855000</v>
      </c>
    </row>
    <row r="80" spans="1:18" ht="12.75">
      <c r="A80" s="67">
        <v>2008</v>
      </c>
      <c r="B80" s="322"/>
      <c r="C80" s="101">
        <f t="shared" si="50"/>
        <v>18299371.5625</v>
      </c>
      <c r="D80" s="78">
        <f t="shared" si="45"/>
        <v>0.04286875</v>
      </c>
      <c r="E80" s="97">
        <f t="shared" si="44"/>
        <v>377633971.7465625</v>
      </c>
      <c r="F80" s="229">
        <f t="shared" si="51"/>
        <v>0.42</v>
      </c>
      <c r="G80" s="67">
        <f t="shared" si="46"/>
        <v>1.6</v>
      </c>
      <c r="H80" s="67">
        <f t="shared" si="47"/>
        <v>0.15</v>
      </c>
      <c r="I80" s="67">
        <f t="shared" si="48"/>
        <v>0.08</v>
      </c>
      <c r="J80" s="228">
        <f t="shared" si="49"/>
        <v>0.014</v>
      </c>
      <c r="K80" s="229">
        <f t="shared" si="18"/>
        <v>158606268.13355625</v>
      </c>
      <c r="L80" s="67">
        <f t="shared" si="19"/>
        <v>604214354.7945</v>
      </c>
      <c r="M80" s="67">
        <f t="shared" si="20"/>
        <v>56645095.76198437</v>
      </c>
      <c r="N80" s="67">
        <f t="shared" si="21"/>
        <v>30210717.739724997</v>
      </c>
      <c r="O80" s="228">
        <f t="shared" si="22"/>
        <v>5286875.604451875</v>
      </c>
      <c r="P80" s="79">
        <v>1</v>
      </c>
      <c r="R80" s="216">
        <f t="shared" si="52"/>
        <v>8809073550</v>
      </c>
    </row>
    <row r="81" spans="1:18" ht="12.75">
      <c r="A81" s="67">
        <v>2009</v>
      </c>
      <c r="B81" s="322"/>
      <c r="C81" s="101">
        <f t="shared" si="50"/>
        <v>18573862.135937497</v>
      </c>
      <c r="D81" s="78">
        <f t="shared" si="45"/>
        <v>0.04072531249999999</v>
      </c>
      <c r="E81" s="97">
        <f t="shared" si="44"/>
        <v>362339795.89082664</v>
      </c>
      <c r="F81" s="229">
        <f t="shared" si="51"/>
        <v>0.42</v>
      </c>
      <c r="G81" s="67">
        <f t="shared" si="46"/>
        <v>1.6</v>
      </c>
      <c r="H81" s="67">
        <f t="shared" si="47"/>
        <v>0.15</v>
      </c>
      <c r="I81" s="67">
        <f t="shared" si="48"/>
        <v>0.08</v>
      </c>
      <c r="J81" s="228">
        <f t="shared" si="49"/>
        <v>0.014</v>
      </c>
      <c r="K81" s="229">
        <f t="shared" si="18"/>
        <v>152182714.27414718</v>
      </c>
      <c r="L81" s="67">
        <f t="shared" si="19"/>
        <v>579743673.4253227</v>
      </c>
      <c r="M81" s="67">
        <f t="shared" si="20"/>
        <v>54350969.383623995</v>
      </c>
      <c r="N81" s="67">
        <f t="shared" si="21"/>
        <v>28987183.67126613</v>
      </c>
      <c r="O81" s="228">
        <f t="shared" si="22"/>
        <v>5072757.142471573</v>
      </c>
      <c r="P81" s="79">
        <v>1</v>
      </c>
      <c r="R81" s="216">
        <f t="shared" si="52"/>
        <v>8897164285.5</v>
      </c>
    </row>
    <row r="82" spans="1:18" ht="12.75">
      <c r="A82" s="67">
        <v>2010</v>
      </c>
      <c r="B82" s="322"/>
      <c r="C82" s="101">
        <f t="shared" si="50"/>
        <v>18852470.067976557</v>
      </c>
      <c r="D82" s="78">
        <f t="shared" si="45"/>
        <v>0.038689046874999994</v>
      </c>
      <c r="E82" s="97">
        <f t="shared" si="44"/>
        <v>347665034.15724814</v>
      </c>
      <c r="F82" s="229">
        <f t="shared" si="51"/>
        <v>0.42</v>
      </c>
      <c r="G82" s="67">
        <f t="shared" si="46"/>
        <v>1.6</v>
      </c>
      <c r="H82" s="67">
        <f t="shared" si="47"/>
        <v>0.15</v>
      </c>
      <c r="I82" s="67">
        <f t="shared" si="48"/>
        <v>0.08</v>
      </c>
      <c r="J82" s="228">
        <f t="shared" si="49"/>
        <v>0.014</v>
      </c>
      <c r="K82" s="229">
        <f t="shared" si="18"/>
        <v>146019314.3460442</v>
      </c>
      <c r="L82" s="67">
        <f t="shared" si="19"/>
        <v>556264054.651597</v>
      </c>
      <c r="M82" s="67">
        <f t="shared" si="20"/>
        <v>52149755.12358722</v>
      </c>
      <c r="N82" s="67">
        <f t="shared" si="21"/>
        <v>27813202.732579853</v>
      </c>
      <c r="O82" s="228">
        <f t="shared" si="22"/>
        <v>4867310.478201474</v>
      </c>
      <c r="P82" s="79">
        <v>1</v>
      </c>
      <c r="R82" s="216">
        <f t="shared" si="52"/>
        <v>8986135928.355</v>
      </c>
    </row>
    <row r="83" spans="1:18" ht="12.75">
      <c r="A83" s="67">
        <v>2011</v>
      </c>
      <c r="B83" s="322"/>
      <c r="C83" s="101">
        <f t="shared" si="50"/>
        <v>19135257.118996203</v>
      </c>
      <c r="D83" s="78">
        <f t="shared" si="45"/>
        <v>0.03675459453124999</v>
      </c>
      <c r="E83" s="97">
        <f t="shared" si="44"/>
        <v>333584600.2738796</v>
      </c>
      <c r="F83" s="229">
        <f t="shared" si="51"/>
        <v>0.42</v>
      </c>
      <c r="G83" s="67">
        <f t="shared" si="46"/>
        <v>1.6</v>
      </c>
      <c r="H83" s="67">
        <f t="shared" si="47"/>
        <v>0.15</v>
      </c>
      <c r="I83" s="67">
        <f t="shared" si="48"/>
        <v>0.08</v>
      </c>
      <c r="J83" s="228">
        <f t="shared" si="49"/>
        <v>0.014</v>
      </c>
      <c r="K83" s="229">
        <f t="shared" si="18"/>
        <v>140105532.11502942</v>
      </c>
      <c r="L83" s="67">
        <f t="shared" si="19"/>
        <v>533735360.4382074</v>
      </c>
      <c r="M83" s="67">
        <f t="shared" si="20"/>
        <v>50037690.041081935</v>
      </c>
      <c r="N83" s="67">
        <f t="shared" si="21"/>
        <v>26686768.02191037</v>
      </c>
      <c r="O83" s="228">
        <f t="shared" si="22"/>
        <v>4670184.403834314</v>
      </c>
      <c r="P83" s="79">
        <v>1</v>
      </c>
      <c r="R83" s="216">
        <f t="shared" si="52"/>
        <v>9075997287.63855</v>
      </c>
    </row>
    <row r="84" spans="1:18" ht="12.75">
      <c r="A84" s="67">
        <v>2012</v>
      </c>
      <c r="B84" s="322"/>
      <c r="C84" s="101">
        <f t="shared" si="50"/>
        <v>19422285.975781143</v>
      </c>
      <c r="D84" s="78">
        <f t="shared" si="45"/>
        <v>0.03491686480468749</v>
      </c>
      <c r="E84" s="97">
        <f t="shared" si="44"/>
        <v>320074423.96278745</v>
      </c>
      <c r="F84" s="229">
        <f t="shared" si="51"/>
        <v>0.42</v>
      </c>
      <c r="G84" s="67">
        <f t="shared" si="46"/>
        <v>1.6</v>
      </c>
      <c r="H84" s="67">
        <f t="shared" si="47"/>
        <v>0.15</v>
      </c>
      <c r="I84" s="67">
        <f t="shared" si="48"/>
        <v>0.08</v>
      </c>
      <c r="J84" s="228">
        <f t="shared" si="49"/>
        <v>0.014</v>
      </c>
      <c r="K84" s="229">
        <f t="shared" si="18"/>
        <v>134431258.06437072</v>
      </c>
      <c r="L84" s="67">
        <f t="shared" si="19"/>
        <v>512119078.34045994</v>
      </c>
      <c r="M84" s="67">
        <f t="shared" si="20"/>
        <v>48011163.594418116</v>
      </c>
      <c r="N84" s="67">
        <f t="shared" si="21"/>
        <v>25605953.917022996</v>
      </c>
      <c r="O84" s="228">
        <f t="shared" si="22"/>
        <v>4481041.935479024</v>
      </c>
      <c r="P84" s="79">
        <v>1</v>
      </c>
      <c r="R84" s="216">
        <f t="shared" si="52"/>
        <v>9166757260.514935</v>
      </c>
    </row>
    <row r="85" spans="1:18" ht="12.75">
      <c r="A85" s="67">
        <v>2013</v>
      </c>
      <c r="B85" s="322"/>
      <c r="C85" s="101">
        <f t="shared" si="50"/>
        <v>19713620.26541786</v>
      </c>
      <c r="D85" s="78">
        <f t="shared" si="45"/>
        <v>0.03317102156445311</v>
      </c>
      <c r="E85" s="97">
        <f t="shared" si="44"/>
        <v>307111409.7922945</v>
      </c>
      <c r="F85" s="229">
        <f t="shared" si="51"/>
        <v>0.42</v>
      </c>
      <c r="G85" s="67">
        <f t="shared" si="46"/>
        <v>1.6</v>
      </c>
      <c r="H85" s="67">
        <f t="shared" si="47"/>
        <v>0.15</v>
      </c>
      <c r="I85" s="67">
        <f t="shared" si="48"/>
        <v>0.08</v>
      </c>
      <c r="J85" s="228">
        <f t="shared" si="49"/>
        <v>0.014</v>
      </c>
      <c r="K85" s="229">
        <f t="shared" si="18"/>
        <v>128986792.11276369</v>
      </c>
      <c r="L85" s="67">
        <f t="shared" si="19"/>
        <v>491378255.6676712</v>
      </c>
      <c r="M85" s="67">
        <f t="shared" si="20"/>
        <v>46066711.468844175</v>
      </c>
      <c r="N85" s="67">
        <f t="shared" si="21"/>
        <v>24568912.78338356</v>
      </c>
      <c r="O85" s="228">
        <f t="shared" si="22"/>
        <v>4299559.737092123</v>
      </c>
      <c r="P85" s="79">
        <v>1</v>
      </c>
      <c r="R85" s="216">
        <f t="shared" si="52"/>
        <v>9258424833.120085</v>
      </c>
    </row>
    <row r="86" spans="1:18" ht="12.75">
      <c r="A86" s="67">
        <v>2014</v>
      </c>
      <c r="B86" s="322"/>
      <c r="C86" s="101">
        <f t="shared" si="50"/>
        <v>20009324.569399126</v>
      </c>
      <c r="D86" s="78">
        <f t="shared" si="45"/>
        <v>0.03151247048623045</v>
      </c>
      <c r="E86" s="97">
        <f t="shared" si="44"/>
        <v>294673397.6957066</v>
      </c>
      <c r="F86" s="229">
        <f t="shared" si="51"/>
        <v>0.42</v>
      </c>
      <c r="G86" s="67">
        <f t="shared" si="46"/>
        <v>1.6</v>
      </c>
      <c r="H86" s="67">
        <f t="shared" si="47"/>
        <v>0.15</v>
      </c>
      <c r="I86" s="67">
        <f t="shared" si="48"/>
        <v>0.08</v>
      </c>
      <c r="J86" s="228">
        <f t="shared" si="49"/>
        <v>0.014</v>
      </c>
      <c r="K86" s="229">
        <f t="shared" si="18"/>
        <v>123762827.03219678</v>
      </c>
      <c r="L86" s="67">
        <f t="shared" si="19"/>
        <v>471477436.3131306</v>
      </c>
      <c r="M86" s="67">
        <f t="shared" si="20"/>
        <v>44201009.65435599</v>
      </c>
      <c r="N86" s="67">
        <f t="shared" si="21"/>
        <v>23573871.815656528</v>
      </c>
      <c r="O86" s="228">
        <f t="shared" si="22"/>
        <v>4125427.5677398928</v>
      </c>
      <c r="P86" s="79">
        <v>1</v>
      </c>
      <c r="R86" s="216">
        <f t="shared" si="52"/>
        <v>9351009081.451286</v>
      </c>
    </row>
    <row r="87" spans="1:18" ht="12.75">
      <c r="A87" s="67">
        <v>2015</v>
      </c>
      <c r="B87" s="322"/>
      <c r="C87" s="101">
        <f t="shared" si="50"/>
        <v>20309464.43794011</v>
      </c>
      <c r="D87" s="78">
        <f t="shared" si="45"/>
        <v>0.02993684696191893</v>
      </c>
      <c r="E87" s="97">
        <f t="shared" si="44"/>
        <v>282739125.08903044</v>
      </c>
      <c r="F87" s="229">
        <f t="shared" si="51"/>
        <v>0.42</v>
      </c>
      <c r="G87" s="67">
        <f t="shared" si="46"/>
        <v>1.6</v>
      </c>
      <c r="H87" s="67">
        <f t="shared" si="47"/>
        <v>0.15</v>
      </c>
      <c r="I87" s="67">
        <f t="shared" si="48"/>
        <v>0.08</v>
      </c>
      <c r="J87" s="228">
        <f t="shared" si="49"/>
        <v>0.014</v>
      </c>
      <c r="K87" s="229">
        <f t="shared" si="18"/>
        <v>118750432.53739278</v>
      </c>
      <c r="L87" s="67">
        <f t="shared" si="19"/>
        <v>452382600.1424487</v>
      </c>
      <c r="M87" s="67">
        <f t="shared" si="20"/>
        <v>42410868.76335456</v>
      </c>
      <c r="N87" s="67">
        <f t="shared" si="21"/>
        <v>22619130.007122435</v>
      </c>
      <c r="O87" s="228">
        <f t="shared" si="22"/>
        <v>3958347.7512464263</v>
      </c>
      <c r="P87" s="79">
        <v>1</v>
      </c>
      <c r="R87" s="216">
        <f t="shared" si="52"/>
        <v>9444519172.265799</v>
      </c>
    </row>
    <row r="88" spans="1:18" ht="12.75">
      <c r="A88" s="67">
        <v>2016</v>
      </c>
      <c r="B88" s="322"/>
      <c r="C88" s="101">
        <f t="shared" si="50"/>
        <v>20614106.40450921</v>
      </c>
      <c r="D88" s="78">
        <f>D87*$C$8</f>
        <v>0.02933811002268055</v>
      </c>
      <c r="E88" s="97">
        <f t="shared" si="44"/>
        <v>279855186.0131223</v>
      </c>
      <c r="F88" s="229">
        <f t="shared" si="51"/>
        <v>0.42</v>
      </c>
      <c r="G88" s="67">
        <f t="shared" si="46"/>
        <v>1.6</v>
      </c>
      <c r="H88" s="67">
        <f t="shared" si="47"/>
        <v>0.15</v>
      </c>
      <c r="I88" s="67">
        <f t="shared" si="48"/>
        <v>0.08</v>
      </c>
      <c r="J88" s="228">
        <f t="shared" si="49"/>
        <v>0.014</v>
      </c>
      <c r="K88" s="229">
        <f t="shared" si="18"/>
        <v>117539178.12551136</v>
      </c>
      <c r="L88" s="67">
        <f t="shared" si="19"/>
        <v>447768297.62099576</v>
      </c>
      <c r="M88" s="67">
        <f t="shared" si="20"/>
        <v>41978277.901968345</v>
      </c>
      <c r="N88" s="67">
        <f t="shared" si="21"/>
        <v>22388414.881049786</v>
      </c>
      <c r="O88" s="228">
        <f t="shared" si="22"/>
        <v>3917972.6041837125</v>
      </c>
      <c r="P88" s="79">
        <v>1</v>
      </c>
      <c r="R88" s="216">
        <f t="shared" si="52"/>
        <v>9538964363.988457</v>
      </c>
    </row>
    <row r="89" spans="1:18" ht="12.75">
      <c r="A89" s="67">
        <v>2017</v>
      </c>
      <c r="B89" s="322"/>
      <c r="C89" s="101">
        <f t="shared" si="50"/>
        <v>20923318.000576846</v>
      </c>
      <c r="D89" s="78">
        <f>D88*$C$8</f>
        <v>0.028751347822226936</v>
      </c>
      <c r="E89" s="97">
        <f t="shared" si="44"/>
        <v>277000663.11578846</v>
      </c>
      <c r="F89" s="229">
        <f t="shared" si="51"/>
        <v>0.42</v>
      </c>
      <c r="G89" s="67">
        <f t="shared" si="46"/>
        <v>1.6</v>
      </c>
      <c r="H89" s="67">
        <f t="shared" si="47"/>
        <v>0.15</v>
      </c>
      <c r="I89" s="67">
        <f t="shared" si="48"/>
        <v>0.08</v>
      </c>
      <c r="J89" s="228">
        <f t="shared" si="49"/>
        <v>0.014</v>
      </c>
      <c r="K89" s="229">
        <f t="shared" si="18"/>
        <v>116340278.50863115</v>
      </c>
      <c r="L89" s="67">
        <f t="shared" si="19"/>
        <v>443201060.98526156</v>
      </c>
      <c r="M89" s="67">
        <f t="shared" si="20"/>
        <v>41550099.46736827</v>
      </c>
      <c r="N89" s="67">
        <f t="shared" si="21"/>
        <v>22160053.04926308</v>
      </c>
      <c r="O89" s="228">
        <f t="shared" si="22"/>
        <v>3878009.2836210383</v>
      </c>
      <c r="P89" s="79">
        <v>1</v>
      </c>
      <c r="R89" s="216">
        <f t="shared" si="52"/>
        <v>9634354007.628342</v>
      </c>
    </row>
    <row r="90" spans="1:18" ht="12.75">
      <c r="A90" s="67">
        <v>2018</v>
      </c>
      <c r="B90" s="322"/>
      <c r="C90" s="101">
        <f t="shared" si="50"/>
        <v>21237167.770585496</v>
      </c>
      <c r="D90" s="78">
        <f>D89*$C$8</f>
        <v>0.028176320865782395</v>
      </c>
      <c r="E90" s="97">
        <f t="shared" si="44"/>
        <v>274175256.35200745</v>
      </c>
      <c r="F90" s="229">
        <f t="shared" si="51"/>
        <v>0.42</v>
      </c>
      <c r="G90" s="67">
        <f t="shared" si="46"/>
        <v>1.6</v>
      </c>
      <c r="H90" s="67">
        <f t="shared" si="47"/>
        <v>0.15</v>
      </c>
      <c r="I90" s="67">
        <f t="shared" si="48"/>
        <v>0.08</v>
      </c>
      <c r="J90" s="228">
        <f t="shared" si="49"/>
        <v>0.014</v>
      </c>
      <c r="K90" s="229">
        <f t="shared" si="18"/>
        <v>115153607.66784312</v>
      </c>
      <c r="L90" s="67">
        <f t="shared" si="19"/>
        <v>438680410.16321194</v>
      </c>
      <c r="M90" s="67">
        <f t="shared" si="20"/>
        <v>41126288.452801116</v>
      </c>
      <c r="N90" s="67">
        <f t="shared" si="21"/>
        <v>21934020.508160595</v>
      </c>
      <c r="O90" s="228">
        <f t="shared" si="22"/>
        <v>3838453.5889281044</v>
      </c>
      <c r="P90" s="79">
        <v>1</v>
      </c>
      <c r="R90" s="216">
        <f t="shared" si="52"/>
        <v>9730697547.704626</v>
      </c>
    </row>
    <row r="91" spans="1:18" ht="12.75">
      <c r="A91" s="67">
        <v>2019</v>
      </c>
      <c r="B91" s="322"/>
      <c r="C91" s="101">
        <f t="shared" si="50"/>
        <v>21555725.287144277</v>
      </c>
      <c r="D91" s="78">
        <f>D90*$C$8</f>
        <v>0.027612794448466746</v>
      </c>
      <c r="E91" s="97">
        <f t="shared" si="44"/>
        <v>271378668.73721695</v>
      </c>
      <c r="F91" s="229">
        <f t="shared" si="51"/>
        <v>0.42</v>
      </c>
      <c r="G91" s="67">
        <f t="shared" si="46"/>
        <v>1.6</v>
      </c>
      <c r="H91" s="67">
        <f t="shared" si="47"/>
        <v>0.15</v>
      </c>
      <c r="I91" s="67">
        <f t="shared" si="48"/>
        <v>0.08</v>
      </c>
      <c r="J91" s="228">
        <f t="shared" si="49"/>
        <v>0.014</v>
      </c>
      <c r="K91" s="229">
        <f t="shared" si="18"/>
        <v>113979040.86963111</v>
      </c>
      <c r="L91" s="67">
        <f t="shared" si="19"/>
        <v>434205869.97954714</v>
      </c>
      <c r="M91" s="67">
        <f t="shared" si="20"/>
        <v>40706800.31058254</v>
      </c>
      <c r="N91" s="67">
        <f t="shared" si="21"/>
        <v>21710293.498977356</v>
      </c>
      <c r="O91" s="228">
        <f t="shared" si="22"/>
        <v>3799301.3623210373</v>
      </c>
      <c r="P91" s="79">
        <v>1</v>
      </c>
      <c r="R91" s="216">
        <f t="shared" si="52"/>
        <v>9828004523.181673</v>
      </c>
    </row>
    <row r="92" spans="1:18" ht="13.5" thickBot="1">
      <c r="A92" s="67">
        <v>2020</v>
      </c>
      <c r="B92" s="322"/>
      <c r="C92" s="101">
        <f t="shared" si="50"/>
        <v>21879061.16645144</v>
      </c>
      <c r="D92" s="78">
        <f>D91*$C$8</f>
        <v>0.02706053855949741</v>
      </c>
      <c r="E92" s="97">
        <f t="shared" si="44"/>
        <v>268610606.3160973</v>
      </c>
      <c r="F92" s="236">
        <f t="shared" si="51"/>
        <v>0.42</v>
      </c>
      <c r="G92" s="237">
        <f t="shared" si="46"/>
        <v>1.6</v>
      </c>
      <c r="H92" s="237">
        <f t="shared" si="47"/>
        <v>0.15</v>
      </c>
      <c r="I92" s="237">
        <f t="shared" si="48"/>
        <v>0.08</v>
      </c>
      <c r="J92" s="238">
        <f t="shared" si="49"/>
        <v>0.014</v>
      </c>
      <c r="K92" s="236">
        <f t="shared" si="18"/>
        <v>112816454.65276086</v>
      </c>
      <c r="L92" s="237">
        <f t="shared" si="19"/>
        <v>429776970.10575575</v>
      </c>
      <c r="M92" s="237">
        <f t="shared" si="20"/>
        <v>40291590.9474146</v>
      </c>
      <c r="N92" s="237">
        <f t="shared" si="21"/>
        <v>21488848.505287785</v>
      </c>
      <c r="O92" s="238">
        <f t="shared" si="22"/>
        <v>3760548.4884253624</v>
      </c>
      <c r="P92" s="79">
        <v>1</v>
      </c>
      <c r="R92" s="217">
        <f t="shared" si="52"/>
        <v>9926284568.41349</v>
      </c>
    </row>
    <row r="93" spans="1:18" ht="13.5" thickBot="1">
      <c r="A93" s="9"/>
      <c r="B93" s="284"/>
      <c r="C93" s="253"/>
      <c r="D93" s="285"/>
      <c r="E93" s="286"/>
      <c r="F93" s="9"/>
      <c r="G93" s="9"/>
      <c r="H93" s="9"/>
      <c r="I93" s="9"/>
      <c r="J93" s="169"/>
      <c r="K93" s="9"/>
      <c r="L93" s="9"/>
      <c r="M93" s="9"/>
      <c r="N93" s="9"/>
      <c r="O93" s="9"/>
      <c r="P93" s="9"/>
      <c r="R93" s="15"/>
    </row>
    <row r="94" spans="1:15" ht="12.75">
      <c r="A94" s="222">
        <v>2005</v>
      </c>
      <c r="B94" s="313" t="s">
        <v>61</v>
      </c>
      <c r="C94" s="173"/>
      <c r="D94" s="81"/>
      <c r="E94" s="82"/>
      <c r="F94" s="83"/>
      <c r="G94" s="83"/>
      <c r="H94" s="83"/>
      <c r="I94" s="83"/>
      <c r="J94" s="174"/>
      <c r="K94" s="94">
        <f aca="true" t="shared" si="53" ref="K94:O103">K13+K29+K45+K61+K77</f>
        <v>14815525500</v>
      </c>
      <c r="L94" s="94">
        <f t="shared" si="53"/>
        <v>170037270000</v>
      </c>
      <c r="M94" s="94">
        <f t="shared" si="53"/>
        <v>25086897000</v>
      </c>
      <c r="N94" s="94">
        <f t="shared" si="53"/>
        <v>7690468500</v>
      </c>
      <c r="O94" s="168">
        <f t="shared" si="53"/>
        <v>306132750</v>
      </c>
    </row>
    <row r="95" spans="1:15" ht="12.75">
      <c r="A95" s="223">
        <v>2006</v>
      </c>
      <c r="B95" s="314"/>
      <c r="C95" s="175"/>
      <c r="D95" s="86"/>
      <c r="E95" s="87"/>
      <c r="F95" s="80"/>
      <c r="G95" s="80"/>
      <c r="H95" s="80"/>
      <c r="I95" s="80"/>
      <c r="J95" s="176"/>
      <c r="K95" s="9">
        <f t="shared" si="53"/>
        <v>14978552525.25</v>
      </c>
      <c r="L95" s="9">
        <f t="shared" si="53"/>
        <v>171980199502.5</v>
      </c>
      <c r="M95" s="9">
        <f t="shared" si="53"/>
        <v>25376224169.25</v>
      </c>
      <c r="N95" s="9">
        <f t="shared" si="53"/>
        <v>7778846886</v>
      </c>
      <c r="O95" s="169">
        <f t="shared" si="53"/>
        <v>309637366.5</v>
      </c>
    </row>
    <row r="96" spans="1:15" ht="12.75">
      <c r="A96" s="223">
        <v>2007</v>
      </c>
      <c r="B96" s="314"/>
      <c r="C96" s="175"/>
      <c r="D96" s="86"/>
      <c r="E96" s="87"/>
      <c r="F96" s="80"/>
      <c r="G96" s="80"/>
      <c r="H96" s="80"/>
      <c r="I96" s="80"/>
      <c r="J96" s="176"/>
      <c r="K96" s="9">
        <f t="shared" si="53"/>
        <v>15142017771.295122</v>
      </c>
      <c r="L96" s="9">
        <f t="shared" si="53"/>
        <v>173925928795.33875</v>
      </c>
      <c r="M96" s="9">
        <f t="shared" si="53"/>
        <v>25665858746.418373</v>
      </c>
      <c r="N96" s="9">
        <f t="shared" si="53"/>
        <v>7867311050.744249</v>
      </c>
      <c r="O96" s="169">
        <f t="shared" si="53"/>
        <v>313140251.290125</v>
      </c>
    </row>
    <row r="97" spans="1:15" ht="12.75">
      <c r="A97" s="223">
        <v>2008</v>
      </c>
      <c r="B97" s="314"/>
      <c r="C97" s="175"/>
      <c r="D97" s="86"/>
      <c r="E97" s="87"/>
      <c r="F97" s="80"/>
      <c r="G97" s="80"/>
      <c r="H97" s="80"/>
      <c r="I97" s="80"/>
      <c r="J97" s="176"/>
      <c r="K97" s="9">
        <f t="shared" si="53"/>
        <v>15305938218.909231</v>
      </c>
      <c r="L97" s="9">
        <f t="shared" si="53"/>
        <v>175874747611.13123</v>
      </c>
      <c r="M97" s="9">
        <f t="shared" si="53"/>
        <v>25955846320.51154</v>
      </c>
      <c r="N97" s="9">
        <f t="shared" si="53"/>
        <v>7955874005.353752</v>
      </c>
      <c r="O97" s="169">
        <f t="shared" si="53"/>
        <v>316641737.664651</v>
      </c>
    </row>
    <row r="98" spans="1:15" ht="12.75">
      <c r="A98" s="223">
        <v>2009</v>
      </c>
      <c r="B98" s="314"/>
      <c r="C98" s="175"/>
      <c r="D98" s="86"/>
      <c r="E98" s="87"/>
      <c r="F98" s="80"/>
      <c r="G98" s="80"/>
      <c r="H98" s="80"/>
      <c r="I98" s="80"/>
      <c r="J98" s="176"/>
      <c r="K98" s="9">
        <f t="shared" si="53"/>
        <v>15470328349.82606</v>
      </c>
      <c r="L98" s="9">
        <f t="shared" si="53"/>
        <v>177826913068.06894</v>
      </c>
      <c r="M98" s="9">
        <f t="shared" si="53"/>
        <v>26246227450.711803</v>
      </c>
      <c r="N98" s="9">
        <f t="shared" si="53"/>
        <v>8044547178.815357</v>
      </c>
      <c r="O98" s="169">
        <f t="shared" si="53"/>
        <v>320142079.14803636</v>
      </c>
    </row>
    <row r="99" spans="1:15" ht="12.75">
      <c r="A99" s="223">
        <v>2010</v>
      </c>
      <c r="B99" s="314"/>
      <c r="C99" s="175"/>
      <c r="D99" s="86"/>
      <c r="E99" s="87"/>
      <c r="F99" s="80"/>
      <c r="G99" s="80"/>
      <c r="H99" s="80"/>
      <c r="I99" s="80"/>
      <c r="J99" s="176"/>
      <c r="K99" s="9">
        <f t="shared" si="53"/>
        <v>15635200099.241486</v>
      </c>
      <c r="L99" s="9">
        <f t="shared" si="53"/>
        <v>179782649274.85626</v>
      </c>
      <c r="M99" s="9">
        <f t="shared" si="53"/>
        <v>26537037610.53704</v>
      </c>
      <c r="N99" s="9">
        <f t="shared" si="53"/>
        <v>8133340397.694216</v>
      </c>
      <c r="O99" s="169">
        <f t="shared" si="53"/>
        <v>323641447.89425385</v>
      </c>
    </row>
    <row r="100" spans="1:15" ht="12.75">
      <c r="A100" s="223">
        <v>2011</v>
      </c>
      <c r="B100" s="314"/>
      <c r="C100" s="175"/>
      <c r="D100" s="86"/>
      <c r="E100" s="87"/>
      <c r="F100" s="80"/>
      <c r="G100" s="80"/>
      <c r="H100" s="80"/>
      <c r="I100" s="80"/>
      <c r="J100" s="176"/>
      <c r="K100" s="9">
        <f t="shared" si="53"/>
        <v>15800562800.851355</v>
      </c>
      <c r="L100" s="9">
        <f t="shared" si="53"/>
        <v>181742146843.3047</v>
      </c>
      <c r="M100" s="9">
        <f t="shared" si="53"/>
        <v>26828307117.88978</v>
      </c>
      <c r="N100" s="9">
        <f t="shared" si="53"/>
        <v>8222261861.358612</v>
      </c>
      <c r="O100" s="169">
        <f t="shared" si="53"/>
        <v>327139932.85043436</v>
      </c>
    </row>
    <row r="101" spans="1:15" ht="12.75">
      <c r="A101" s="223">
        <v>2012</v>
      </c>
      <c r="B101" s="314"/>
      <c r="C101" s="175"/>
      <c r="D101" s="86"/>
      <c r="E101" s="87"/>
      <c r="F101" s="80"/>
      <c r="G101" s="80"/>
      <c r="H101" s="80"/>
      <c r="I101" s="80"/>
      <c r="J101" s="176"/>
      <c r="K101" s="9">
        <f t="shared" si="53"/>
        <v>15966423124.155233</v>
      </c>
      <c r="L101" s="9">
        <f t="shared" si="53"/>
        <v>183705562305.72595</v>
      </c>
      <c r="M101" s="9">
        <f t="shared" si="53"/>
        <v>27120061050.569866</v>
      </c>
      <c r="N101" s="9">
        <f t="shared" si="53"/>
        <v>8311318112.5756445</v>
      </c>
      <c r="O101" s="169">
        <f t="shared" si="53"/>
        <v>330637537.67610353</v>
      </c>
    </row>
    <row r="102" spans="1:15" ht="12.75">
      <c r="A102" s="223">
        <v>2013</v>
      </c>
      <c r="B102" s="314"/>
      <c r="C102" s="175"/>
      <c r="D102" s="86"/>
      <c r="E102" s="87"/>
      <c r="F102" s="80"/>
      <c r="G102" s="80"/>
      <c r="H102" s="80"/>
      <c r="I102" s="80"/>
      <c r="J102" s="176"/>
      <c r="K102" s="9">
        <f t="shared" si="53"/>
        <v>16132785003.732811</v>
      </c>
      <c r="L102" s="9">
        <f t="shared" si="53"/>
        <v>185673017433.97885</v>
      </c>
      <c r="M102" s="9">
        <f t="shared" si="53"/>
        <v>27412319146.782005</v>
      </c>
      <c r="N102" s="9">
        <f t="shared" si="53"/>
        <v>8400514003.322412</v>
      </c>
      <c r="O102" s="169">
        <f t="shared" si="53"/>
        <v>334134178.4085418</v>
      </c>
    </row>
    <row r="103" spans="1:15" ht="12.75">
      <c r="A103" s="223">
        <v>2014</v>
      </c>
      <c r="B103" s="314"/>
      <c r="C103" s="175"/>
      <c r="D103" s="86"/>
      <c r="E103" s="87"/>
      <c r="F103" s="80"/>
      <c r="G103" s="80"/>
      <c r="H103" s="80"/>
      <c r="I103" s="80"/>
      <c r="J103" s="176"/>
      <c r="K103" s="9">
        <f t="shared" si="53"/>
        <v>16299649560.174776</v>
      </c>
      <c r="L103" s="9">
        <f t="shared" si="53"/>
        <v>187644598456.72958</v>
      </c>
      <c r="M103" s="9">
        <f t="shared" si="53"/>
        <v>27705095690.124004</v>
      </c>
      <c r="N103" s="9">
        <f t="shared" si="53"/>
        <v>8489852655.642844</v>
      </c>
      <c r="O103" s="169">
        <f t="shared" si="53"/>
        <v>337629680.86400646</v>
      </c>
    </row>
    <row r="104" spans="1:15" ht="12.75">
      <c r="A104" s="223">
        <v>2015</v>
      </c>
      <c r="B104" s="314"/>
      <c r="C104" s="175"/>
      <c r="D104" s="86"/>
      <c r="E104" s="87"/>
      <c r="F104" s="80"/>
      <c r="G104" s="80"/>
      <c r="H104" s="80"/>
      <c r="I104" s="80"/>
      <c r="J104" s="176"/>
      <c r="K104" s="9">
        <f aca="true" t="shared" si="54" ref="K104:O109">K23+K39+K55+K71+K87</f>
        <v>16467015012.323992</v>
      </c>
      <c r="L104" s="9">
        <f t="shared" si="54"/>
        <v>189620355171.17505</v>
      </c>
      <c r="M104" s="9">
        <f t="shared" si="54"/>
        <v>27998399378.494877</v>
      </c>
      <c r="N104" s="9">
        <f t="shared" si="54"/>
        <v>8579335417.365253</v>
      </c>
      <c r="O104" s="169">
        <f t="shared" si="54"/>
        <v>341123777.76372945</v>
      </c>
    </row>
    <row r="105" spans="1:15" ht="12.75">
      <c r="A105" s="223">
        <v>2016</v>
      </c>
      <c r="B105" s="314"/>
      <c r="C105" s="175"/>
      <c r="D105" s="86"/>
      <c r="E105" s="87"/>
      <c r="F105" s="80"/>
      <c r="G105" s="80"/>
      <c r="H105" s="80"/>
      <c r="I105" s="80"/>
      <c r="J105" s="176"/>
      <c r="K105" s="9">
        <f t="shared" si="54"/>
        <v>16626657976.114979</v>
      </c>
      <c r="L105" s="9">
        <f t="shared" si="54"/>
        <v>191477306446.56516</v>
      </c>
      <c r="M105" s="9">
        <f t="shared" si="54"/>
        <v>28272931735.47282</v>
      </c>
      <c r="N105" s="9">
        <f t="shared" si="54"/>
        <v>8663099131.89926</v>
      </c>
      <c r="O105" s="169">
        <f t="shared" si="54"/>
        <v>344366234.87093514</v>
      </c>
    </row>
    <row r="106" spans="1:15" ht="12.75">
      <c r="A106" s="223">
        <v>2017</v>
      </c>
      <c r="B106" s="314"/>
      <c r="C106" s="175"/>
      <c r="D106" s="86"/>
      <c r="E106" s="87"/>
      <c r="F106" s="80"/>
      <c r="G106" s="80"/>
      <c r="H106" s="80"/>
      <c r="I106" s="80"/>
      <c r="J106" s="176"/>
      <c r="K106" s="9">
        <f t="shared" si="54"/>
        <v>16787205854.552874</v>
      </c>
      <c r="L106" s="9">
        <f t="shared" si="54"/>
        <v>193344655378.42502</v>
      </c>
      <c r="M106" s="9">
        <f t="shared" si="54"/>
        <v>28548969850.748825</v>
      </c>
      <c r="N106" s="9">
        <f t="shared" si="54"/>
        <v>8747301362.70238</v>
      </c>
      <c r="O106" s="169">
        <f t="shared" si="54"/>
        <v>347619128.0795738</v>
      </c>
    </row>
    <row r="107" spans="1:15" ht="12.75">
      <c r="A107" s="223">
        <v>2018</v>
      </c>
      <c r="B107" s="314"/>
      <c r="C107" s="175"/>
      <c r="D107" s="86"/>
      <c r="E107" s="87"/>
      <c r="F107" s="80"/>
      <c r="G107" s="80"/>
      <c r="H107" s="80"/>
      <c r="I107" s="80"/>
      <c r="J107" s="176"/>
      <c r="K107" s="9">
        <f t="shared" si="54"/>
        <v>16948629811.303413</v>
      </c>
      <c r="L107" s="9">
        <f t="shared" si="54"/>
        <v>195222070676.36847</v>
      </c>
      <c r="M107" s="9">
        <f t="shared" si="54"/>
        <v>28826463067.56763</v>
      </c>
      <c r="N107" s="9">
        <f t="shared" si="54"/>
        <v>8831925166.666615</v>
      </c>
      <c r="O107" s="169">
        <f t="shared" si="54"/>
        <v>350881351.5760851</v>
      </c>
    </row>
    <row r="108" spans="1:15" ht="12.75">
      <c r="A108" s="223">
        <v>2019</v>
      </c>
      <c r="B108" s="314"/>
      <c r="C108" s="175"/>
      <c r="D108" s="86"/>
      <c r="E108" s="87"/>
      <c r="F108" s="80"/>
      <c r="G108" s="80"/>
      <c r="H108" s="80"/>
      <c r="I108" s="80"/>
      <c r="J108" s="176"/>
      <c r="K108" s="9">
        <f t="shared" si="54"/>
        <v>17110898389.295403</v>
      </c>
      <c r="L108" s="9">
        <f t="shared" si="54"/>
        <v>197109190800.3253</v>
      </c>
      <c r="M108" s="9">
        <f t="shared" si="54"/>
        <v>29105356152.239475</v>
      </c>
      <c r="N108" s="9">
        <f t="shared" si="54"/>
        <v>8916952112.143364</v>
      </c>
      <c r="O108" s="169">
        <f t="shared" si="54"/>
        <v>354151714.0479075</v>
      </c>
    </row>
    <row r="109" spans="1:15" ht="13.5" thickBot="1">
      <c r="A109" s="224">
        <v>2020</v>
      </c>
      <c r="B109" s="315"/>
      <c r="C109" s="175"/>
      <c r="D109" s="86"/>
      <c r="E109" s="87"/>
      <c r="F109" s="80"/>
      <c r="G109" s="80"/>
      <c r="H109" s="80"/>
      <c r="I109" s="80"/>
      <c r="J109" s="176"/>
      <c r="K109" s="9">
        <f t="shared" si="54"/>
        <v>17273977343.815838</v>
      </c>
      <c r="L109" s="9">
        <f t="shared" si="54"/>
        <v>199005622034.5214</v>
      </c>
      <c r="M109" s="9">
        <f t="shared" si="54"/>
        <v>29385589003.07899</v>
      </c>
      <c r="N109" s="9">
        <f t="shared" si="54"/>
        <v>9002362184.54516</v>
      </c>
      <c r="O109" s="169">
        <f t="shared" si="54"/>
        <v>357428933.3373138</v>
      </c>
    </row>
    <row r="110" spans="1:15" ht="12.75">
      <c r="A110" s="222">
        <v>2005</v>
      </c>
      <c r="B110" s="316" t="s">
        <v>62</v>
      </c>
      <c r="C110" s="173"/>
      <c r="D110" s="81"/>
      <c r="E110" s="82"/>
      <c r="F110" s="83"/>
      <c r="G110" s="83"/>
      <c r="H110" s="83"/>
      <c r="I110" s="83"/>
      <c r="J110" s="174"/>
      <c r="K110" s="84">
        <f aca="true" t="shared" si="55" ref="K110:O123">K94/1000000</f>
        <v>14815.5255</v>
      </c>
      <c r="L110" s="84">
        <f t="shared" si="55"/>
        <v>170037.27</v>
      </c>
      <c r="M110" s="84">
        <f t="shared" si="55"/>
        <v>25086.897</v>
      </c>
      <c r="N110" s="84">
        <f t="shared" si="55"/>
        <v>7690.4685</v>
      </c>
      <c r="O110" s="85">
        <f t="shared" si="55"/>
        <v>306.13275</v>
      </c>
    </row>
    <row r="111" spans="1:15" ht="12.75">
      <c r="A111" s="223">
        <v>2006</v>
      </c>
      <c r="B111" s="317"/>
      <c r="C111" s="175"/>
      <c r="D111" s="86"/>
      <c r="E111" s="87"/>
      <c r="F111" s="80"/>
      <c r="G111" s="80"/>
      <c r="H111" s="80"/>
      <c r="I111" s="80"/>
      <c r="J111" s="176"/>
      <c r="K111" s="14">
        <f t="shared" si="55"/>
        <v>14978.55252525</v>
      </c>
      <c r="L111" s="14">
        <f t="shared" si="55"/>
        <v>171980.1995025</v>
      </c>
      <c r="M111" s="14">
        <f t="shared" si="55"/>
        <v>25376.22416925</v>
      </c>
      <c r="N111" s="14">
        <f t="shared" si="55"/>
        <v>7778.846886</v>
      </c>
      <c r="O111" s="88">
        <f t="shared" si="55"/>
        <v>309.6373665</v>
      </c>
    </row>
    <row r="112" spans="1:15" ht="12.75">
      <c r="A112" s="223">
        <v>2007</v>
      </c>
      <c r="B112" s="317"/>
      <c r="C112" s="175"/>
      <c r="D112" s="86"/>
      <c r="E112" s="87"/>
      <c r="F112" s="80"/>
      <c r="G112" s="80"/>
      <c r="H112" s="80"/>
      <c r="I112" s="80"/>
      <c r="J112" s="176"/>
      <c r="K112" s="14">
        <f t="shared" si="55"/>
        <v>15142.017771295123</v>
      </c>
      <c r="L112" s="14">
        <f t="shared" si="55"/>
        <v>173925.92879533875</v>
      </c>
      <c r="M112" s="14">
        <f t="shared" si="55"/>
        <v>25665.858746418373</v>
      </c>
      <c r="N112" s="14">
        <f t="shared" si="55"/>
        <v>7867.31105074425</v>
      </c>
      <c r="O112" s="88">
        <f t="shared" si="55"/>
        <v>313.14025129012504</v>
      </c>
    </row>
    <row r="113" spans="1:15" ht="12.75">
      <c r="A113" s="223">
        <v>2008</v>
      </c>
      <c r="B113" s="317"/>
      <c r="C113" s="175"/>
      <c r="D113" s="86"/>
      <c r="E113" s="87"/>
      <c r="F113" s="80"/>
      <c r="G113" s="80"/>
      <c r="H113" s="80"/>
      <c r="I113" s="80"/>
      <c r="J113" s="176"/>
      <c r="K113" s="14">
        <f t="shared" si="55"/>
        <v>15305.938218909232</v>
      </c>
      <c r="L113" s="14">
        <f t="shared" si="55"/>
        <v>175874.74761113123</v>
      </c>
      <c r="M113" s="14">
        <f t="shared" si="55"/>
        <v>25955.84632051154</v>
      </c>
      <c r="N113" s="14">
        <f t="shared" si="55"/>
        <v>7955.874005353752</v>
      </c>
      <c r="O113" s="88">
        <f t="shared" si="55"/>
        <v>316.641737664651</v>
      </c>
    </row>
    <row r="114" spans="1:15" ht="12.75">
      <c r="A114" s="223">
        <v>2009</v>
      </c>
      <c r="B114" s="317"/>
      <c r="C114" s="175"/>
      <c r="D114" s="86"/>
      <c r="E114" s="87"/>
      <c r="F114" s="80"/>
      <c r="G114" s="80"/>
      <c r="H114" s="80"/>
      <c r="I114" s="80"/>
      <c r="J114" s="176"/>
      <c r="K114" s="14">
        <f t="shared" si="55"/>
        <v>15470.328349826059</v>
      </c>
      <c r="L114" s="14">
        <f t="shared" si="55"/>
        <v>177826.91306806894</v>
      </c>
      <c r="M114" s="14">
        <f t="shared" si="55"/>
        <v>26246.2274507118</v>
      </c>
      <c r="N114" s="14">
        <f t="shared" si="55"/>
        <v>8044.547178815357</v>
      </c>
      <c r="O114" s="88">
        <f t="shared" si="55"/>
        <v>320.1420791480364</v>
      </c>
    </row>
    <row r="115" spans="1:15" ht="12.75">
      <c r="A115" s="223">
        <v>2010</v>
      </c>
      <c r="B115" s="317"/>
      <c r="C115" s="175"/>
      <c r="D115" s="86"/>
      <c r="E115" s="87"/>
      <c r="F115" s="80"/>
      <c r="G115" s="80"/>
      <c r="H115" s="80"/>
      <c r="I115" s="80"/>
      <c r="J115" s="176"/>
      <c r="K115" s="14">
        <f t="shared" si="55"/>
        <v>15635.200099241485</v>
      </c>
      <c r="L115" s="14">
        <f t="shared" si="55"/>
        <v>179782.64927485626</v>
      </c>
      <c r="M115" s="14">
        <f t="shared" si="55"/>
        <v>26537.03761053704</v>
      </c>
      <c r="N115" s="14">
        <f t="shared" si="55"/>
        <v>8133.340397694215</v>
      </c>
      <c r="O115" s="88">
        <f t="shared" si="55"/>
        <v>323.6414478942539</v>
      </c>
    </row>
    <row r="116" spans="1:15" ht="12.75">
      <c r="A116" s="223">
        <v>2011</v>
      </c>
      <c r="B116" s="317"/>
      <c r="C116" s="175"/>
      <c r="D116" s="86"/>
      <c r="E116" s="87"/>
      <c r="F116" s="80"/>
      <c r="G116" s="80"/>
      <c r="H116" s="80"/>
      <c r="I116" s="80"/>
      <c r="J116" s="176"/>
      <c r="K116" s="14">
        <f t="shared" si="55"/>
        <v>15800.562800851354</v>
      </c>
      <c r="L116" s="14">
        <f t="shared" si="55"/>
        <v>181742.14684330468</v>
      </c>
      <c r="M116" s="14">
        <f t="shared" si="55"/>
        <v>26828.307117889777</v>
      </c>
      <c r="N116" s="14">
        <f t="shared" si="55"/>
        <v>8222.261861358613</v>
      </c>
      <c r="O116" s="88">
        <f t="shared" si="55"/>
        <v>327.1399328504344</v>
      </c>
    </row>
    <row r="117" spans="1:15" ht="12.75">
      <c r="A117" s="223">
        <v>2012</v>
      </c>
      <c r="B117" s="317"/>
      <c r="C117" s="175"/>
      <c r="D117" s="86"/>
      <c r="E117" s="87"/>
      <c r="F117" s="80"/>
      <c r="G117" s="80"/>
      <c r="H117" s="80"/>
      <c r="I117" s="80"/>
      <c r="J117" s="176"/>
      <c r="K117" s="14">
        <f t="shared" si="55"/>
        <v>15966.423124155233</v>
      </c>
      <c r="L117" s="14">
        <f t="shared" si="55"/>
        <v>183705.56230572597</v>
      </c>
      <c r="M117" s="14">
        <f t="shared" si="55"/>
        <v>27120.061050569868</v>
      </c>
      <c r="N117" s="14">
        <f t="shared" si="55"/>
        <v>8311.318112575644</v>
      </c>
      <c r="O117" s="88">
        <f t="shared" si="55"/>
        <v>330.63753767610353</v>
      </c>
    </row>
    <row r="118" spans="1:15" ht="12.75">
      <c r="A118" s="223">
        <v>2013</v>
      </c>
      <c r="B118" s="317"/>
      <c r="C118" s="175"/>
      <c r="D118" s="86"/>
      <c r="E118" s="87"/>
      <c r="F118" s="80"/>
      <c r="G118" s="80"/>
      <c r="H118" s="80"/>
      <c r="I118" s="80"/>
      <c r="J118" s="176"/>
      <c r="K118" s="14">
        <f t="shared" si="55"/>
        <v>16132.785003732812</v>
      </c>
      <c r="L118" s="14">
        <f t="shared" si="55"/>
        <v>185673.01743397885</v>
      </c>
      <c r="M118" s="14">
        <f t="shared" si="55"/>
        <v>27412.319146782007</v>
      </c>
      <c r="N118" s="14">
        <f t="shared" si="55"/>
        <v>8400.51400332241</v>
      </c>
      <c r="O118" s="88">
        <f t="shared" si="55"/>
        <v>334.1341784085418</v>
      </c>
    </row>
    <row r="119" spans="1:15" ht="12.75">
      <c r="A119" s="223">
        <v>2014</v>
      </c>
      <c r="B119" s="317"/>
      <c r="C119" s="175"/>
      <c r="D119" s="86"/>
      <c r="E119" s="87"/>
      <c r="F119" s="80"/>
      <c r="G119" s="80"/>
      <c r="H119" s="80"/>
      <c r="I119" s="80"/>
      <c r="J119" s="176"/>
      <c r="K119" s="14">
        <f t="shared" si="55"/>
        <v>16299.649560174776</v>
      </c>
      <c r="L119" s="14">
        <f t="shared" si="55"/>
        <v>187644.59845672958</v>
      </c>
      <c r="M119" s="14">
        <f t="shared" si="55"/>
        <v>27705.095690124006</v>
      </c>
      <c r="N119" s="14">
        <f t="shared" si="55"/>
        <v>8489.852655642844</v>
      </c>
      <c r="O119" s="88">
        <f t="shared" si="55"/>
        <v>337.62968086400645</v>
      </c>
    </row>
    <row r="120" spans="1:15" ht="12.75">
      <c r="A120" s="223">
        <v>2015</v>
      </c>
      <c r="B120" s="317"/>
      <c r="C120" s="175"/>
      <c r="D120" s="86"/>
      <c r="E120" s="87"/>
      <c r="F120" s="80"/>
      <c r="G120" s="80"/>
      <c r="H120" s="80"/>
      <c r="I120" s="80"/>
      <c r="J120" s="176"/>
      <c r="K120" s="14">
        <f t="shared" si="55"/>
        <v>16467.01501232399</v>
      </c>
      <c r="L120" s="14">
        <f t="shared" si="55"/>
        <v>189620.35517117506</v>
      </c>
      <c r="M120" s="14">
        <f t="shared" si="55"/>
        <v>27998.399378494876</v>
      </c>
      <c r="N120" s="14">
        <f t="shared" si="55"/>
        <v>8579.335417365253</v>
      </c>
      <c r="O120" s="88">
        <f t="shared" si="55"/>
        <v>341.12377776372944</v>
      </c>
    </row>
    <row r="121" spans="1:15" ht="12.75">
      <c r="A121" s="223">
        <v>2016</v>
      </c>
      <c r="B121" s="317"/>
      <c r="C121" s="175"/>
      <c r="D121" s="86"/>
      <c r="E121" s="87"/>
      <c r="F121" s="80"/>
      <c r="G121" s="80"/>
      <c r="H121" s="80"/>
      <c r="I121" s="80"/>
      <c r="J121" s="176"/>
      <c r="K121" s="14">
        <f t="shared" si="55"/>
        <v>16626.65797611498</v>
      </c>
      <c r="L121" s="14">
        <f t="shared" si="55"/>
        <v>191477.30644656514</v>
      </c>
      <c r="M121" s="14">
        <f t="shared" si="55"/>
        <v>28272.93173547282</v>
      </c>
      <c r="N121" s="14">
        <f t="shared" si="55"/>
        <v>8663.09913189926</v>
      </c>
      <c r="O121" s="88">
        <f t="shared" si="55"/>
        <v>344.36623487093516</v>
      </c>
    </row>
    <row r="122" spans="1:15" ht="12.75">
      <c r="A122" s="223">
        <v>2017</v>
      </c>
      <c r="B122" s="317"/>
      <c r="C122" s="175"/>
      <c r="D122" s="86"/>
      <c r="E122" s="87"/>
      <c r="F122" s="80"/>
      <c r="G122" s="80"/>
      <c r="H122" s="80"/>
      <c r="I122" s="80"/>
      <c r="J122" s="176"/>
      <c r="K122" s="14">
        <f t="shared" si="55"/>
        <v>16787.205854552874</v>
      </c>
      <c r="L122" s="14">
        <f t="shared" si="55"/>
        <v>193344.65537842503</v>
      </c>
      <c r="M122" s="14">
        <f t="shared" si="55"/>
        <v>28548.969850748825</v>
      </c>
      <c r="N122" s="14">
        <f t="shared" si="55"/>
        <v>8747.30136270238</v>
      </c>
      <c r="O122" s="88">
        <f t="shared" si="55"/>
        <v>347.6191280795738</v>
      </c>
    </row>
    <row r="123" spans="1:15" ht="12.75">
      <c r="A123" s="223">
        <v>2018</v>
      </c>
      <c r="B123" s="317"/>
      <c r="C123" s="175"/>
      <c r="D123" s="86"/>
      <c r="E123" s="87"/>
      <c r="F123" s="80"/>
      <c r="G123" s="80"/>
      <c r="H123" s="80"/>
      <c r="I123" s="80"/>
      <c r="J123" s="176"/>
      <c r="K123" s="14">
        <f t="shared" si="55"/>
        <v>16948.629811303414</v>
      </c>
      <c r="L123" s="14">
        <f t="shared" si="55"/>
        <v>195222.07067636846</v>
      </c>
      <c r="M123" s="14">
        <f t="shared" si="55"/>
        <v>28826.46306756763</v>
      </c>
      <c r="N123" s="14">
        <f t="shared" si="55"/>
        <v>8831.925166666615</v>
      </c>
      <c r="O123" s="88">
        <f t="shared" si="55"/>
        <v>350.8813515760851</v>
      </c>
    </row>
    <row r="124" spans="1:15" ht="12.75">
      <c r="A124" s="223">
        <v>2019</v>
      </c>
      <c r="B124" s="317"/>
      <c r="C124" s="175"/>
      <c r="D124" s="86"/>
      <c r="E124" s="87"/>
      <c r="F124" s="80"/>
      <c r="G124" s="80"/>
      <c r="H124" s="80"/>
      <c r="I124" s="80"/>
      <c r="J124" s="176"/>
      <c r="K124" s="14">
        <f aca="true" t="shared" si="56" ref="K124:O125">K108/1000000</f>
        <v>17110.898389295402</v>
      </c>
      <c r="L124" s="14">
        <f t="shared" si="56"/>
        <v>197109.19080032528</v>
      </c>
      <c r="M124" s="14">
        <f t="shared" si="56"/>
        <v>29105.356152239474</v>
      </c>
      <c r="N124" s="14">
        <f t="shared" si="56"/>
        <v>8916.952112143365</v>
      </c>
      <c r="O124" s="88">
        <f t="shared" si="56"/>
        <v>354.1517140479075</v>
      </c>
    </row>
    <row r="125" spans="1:15" ht="13.5" thickBot="1">
      <c r="A125" s="224">
        <v>2020</v>
      </c>
      <c r="B125" s="318"/>
      <c r="C125" s="177"/>
      <c r="D125" s="89"/>
      <c r="E125" s="90"/>
      <c r="F125" s="91"/>
      <c r="G125" s="91"/>
      <c r="H125" s="91"/>
      <c r="I125" s="91"/>
      <c r="J125" s="178"/>
      <c r="K125" s="92">
        <f t="shared" si="56"/>
        <v>17273.977343815837</v>
      </c>
      <c r="L125" s="92">
        <f t="shared" si="56"/>
        <v>199005.6220345214</v>
      </c>
      <c r="M125" s="92">
        <f t="shared" si="56"/>
        <v>29385.589003078992</v>
      </c>
      <c r="N125" s="92">
        <f t="shared" si="56"/>
        <v>9002.36218454516</v>
      </c>
      <c r="O125" s="93">
        <f t="shared" si="56"/>
        <v>357.42893333731377</v>
      </c>
    </row>
  </sheetData>
  <mergeCells count="10">
    <mergeCell ref="P11:P12"/>
    <mergeCell ref="R11:R12"/>
    <mergeCell ref="B61:B76"/>
    <mergeCell ref="B77:B92"/>
    <mergeCell ref="B94:B109"/>
    <mergeCell ref="B110:B125"/>
    <mergeCell ref="F11:J11"/>
    <mergeCell ref="B13:B28"/>
    <mergeCell ref="B29:B44"/>
    <mergeCell ref="B45:B6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7" width="11.57421875" style="0" customWidth="1"/>
    <col min="8" max="8" width="2.00390625" style="0" customWidth="1"/>
    <col min="9" max="14" width="6.7109375" style="0" customWidth="1"/>
    <col min="15" max="15" width="2.00390625" style="0" customWidth="1"/>
    <col min="16" max="16" width="7.00390625" style="0" customWidth="1"/>
    <col min="17" max="21" width="9.8515625" style="0" customWidth="1"/>
    <col min="22" max="22" width="15.140625" style="0" customWidth="1"/>
  </cols>
  <sheetData>
    <row r="1" spans="2:21" ht="13.5" thickBot="1">
      <c r="B1" s="115" t="s">
        <v>48</v>
      </c>
      <c r="C1" s="115"/>
      <c r="D1" s="115"/>
      <c r="E1" s="115"/>
      <c r="F1" s="115"/>
      <c r="G1" s="115"/>
      <c r="I1" s="115" t="s">
        <v>77</v>
      </c>
      <c r="J1" s="115"/>
      <c r="K1" s="115"/>
      <c r="L1" s="115"/>
      <c r="M1" s="115"/>
      <c r="N1" s="115"/>
      <c r="P1" s="115" t="s">
        <v>76</v>
      </c>
      <c r="Q1" s="115"/>
      <c r="R1" s="115"/>
      <c r="S1" s="115"/>
      <c r="T1" s="115"/>
      <c r="U1" s="115"/>
    </row>
    <row r="2" spans="2:22" ht="12.75">
      <c r="B2" s="239"/>
      <c r="C2" s="240" t="s">
        <v>1</v>
      </c>
      <c r="D2" s="240" t="s">
        <v>2</v>
      </c>
      <c r="E2" s="240" t="s">
        <v>3</v>
      </c>
      <c r="F2" s="240" t="s">
        <v>4</v>
      </c>
      <c r="G2" s="241" t="s">
        <v>5</v>
      </c>
      <c r="H2" s="157"/>
      <c r="I2" s="239"/>
      <c r="J2" s="240" t="s">
        <v>1</v>
      </c>
      <c r="K2" s="240" t="s">
        <v>2</v>
      </c>
      <c r="L2" s="240" t="s">
        <v>3</v>
      </c>
      <c r="M2" s="240" t="s">
        <v>4</v>
      </c>
      <c r="N2" s="241" t="s">
        <v>5</v>
      </c>
      <c r="O2" s="157"/>
      <c r="P2" s="239"/>
      <c r="Q2" s="240" t="s">
        <v>1</v>
      </c>
      <c r="R2" s="240" t="s">
        <v>2</v>
      </c>
      <c r="S2" s="240" t="s">
        <v>3</v>
      </c>
      <c r="T2" s="240" t="s">
        <v>4</v>
      </c>
      <c r="U2" s="240" t="s">
        <v>5</v>
      </c>
      <c r="V2" s="242" t="s">
        <v>34</v>
      </c>
    </row>
    <row r="3" spans="2:22" ht="12.75">
      <c r="B3" s="34">
        <v>2005</v>
      </c>
      <c r="C3" s="35">
        <f>Freight_Emissions!K110+Passenger_Emissions!M123</f>
        <v>87092.22198516046</v>
      </c>
      <c r="D3" s="35">
        <f>Freight_Emissions!L110+Passenger_Emissions!N123</f>
        <v>968401.820050176</v>
      </c>
      <c r="E3" s="35">
        <f>Freight_Emissions!M110+Passenger_Emissions!O123</f>
        <v>80203.60064419414</v>
      </c>
      <c r="F3" s="35">
        <f>Freight_Emissions!N110+Passenger_Emissions!P123</f>
        <v>12454.494102669938</v>
      </c>
      <c r="G3" s="36">
        <f>Freight_Emissions!O110+Passenger_Emissions!Q123</f>
        <v>4401.400259410789</v>
      </c>
      <c r="I3" s="34">
        <v>2005</v>
      </c>
      <c r="J3" s="35">
        <f>IF(C3&gt;C$20,1,0)</f>
        <v>0</v>
      </c>
      <c r="K3" s="35">
        <f aca="true" t="shared" si="0" ref="K3:N6">IF(D3&gt;D$20,1,0)</f>
        <v>0</v>
      </c>
      <c r="L3" s="35">
        <f t="shared" si="0"/>
        <v>0</v>
      </c>
      <c r="M3" s="35">
        <f t="shared" si="0"/>
        <v>0</v>
      </c>
      <c r="N3" s="36">
        <f t="shared" si="0"/>
        <v>0</v>
      </c>
      <c r="P3" s="34">
        <v>2005</v>
      </c>
      <c r="Q3" s="35">
        <f aca="true" t="shared" si="1" ref="Q3:Q18">J3*C$29</f>
        <v>0</v>
      </c>
      <c r="R3" s="35">
        <f aca="true" t="shared" si="2" ref="R3:R18">K3*D$29</f>
        <v>0</v>
      </c>
      <c r="S3" s="35">
        <f aca="true" t="shared" si="3" ref="S3:S18">L3*E$29</f>
        <v>0</v>
      </c>
      <c r="T3" s="35">
        <f aca="true" t="shared" si="4" ref="T3:T18">M3*F$29</f>
        <v>0</v>
      </c>
      <c r="U3" s="35">
        <f aca="true" t="shared" si="5" ref="U3:U18">N3*G$29</f>
        <v>0</v>
      </c>
      <c r="V3" s="216">
        <f>SUM(Q3:U3)</f>
        <v>0</v>
      </c>
    </row>
    <row r="4" spans="2:22" ht="12.75">
      <c r="B4" s="34">
        <v>2006</v>
      </c>
      <c r="C4" s="35">
        <f>Freight_Emissions!K111+Passenger_Emissions!M124</f>
        <v>89953.37607565378</v>
      </c>
      <c r="D4" s="35">
        <f>Freight_Emissions!L111+Passenger_Emissions!N124</f>
        <v>1000833.6598409648</v>
      </c>
      <c r="E4" s="35">
        <f>Freight_Emissions!M111+Passenger_Emissions!O124</f>
        <v>82841.29945880263</v>
      </c>
      <c r="F4" s="35">
        <f>Freight_Emissions!N111+Passenger_Emissions!P124</f>
        <v>12777.151373823519</v>
      </c>
      <c r="G4" s="36">
        <f>Freight_Emissions!O111+Passenger_Emissions!Q124</f>
        <v>4603.901143735125</v>
      </c>
      <c r="I4" s="34">
        <v>2006</v>
      </c>
      <c r="J4" s="35">
        <f>IF(C4&gt;C$20,1,0)</f>
        <v>0</v>
      </c>
      <c r="K4" s="35">
        <f t="shared" si="0"/>
        <v>1</v>
      </c>
      <c r="L4" s="35">
        <f t="shared" si="0"/>
        <v>0</v>
      </c>
      <c r="M4" s="35">
        <f t="shared" si="0"/>
        <v>0</v>
      </c>
      <c r="N4" s="36">
        <f t="shared" si="0"/>
        <v>0</v>
      </c>
      <c r="P4" s="34">
        <v>2006</v>
      </c>
      <c r="Q4" s="35">
        <f t="shared" si="1"/>
        <v>0</v>
      </c>
      <c r="R4" s="35">
        <f t="shared" si="2"/>
        <v>20000000</v>
      </c>
      <c r="S4" s="35">
        <f t="shared" si="3"/>
        <v>0</v>
      </c>
      <c r="T4" s="35">
        <f t="shared" si="4"/>
        <v>0</v>
      </c>
      <c r="U4" s="35">
        <f t="shared" si="5"/>
        <v>0</v>
      </c>
      <c r="V4" s="216">
        <f aca="true" t="shared" si="6" ref="V4:V18">SUM(Q4:U4)</f>
        <v>20000000</v>
      </c>
    </row>
    <row r="5" spans="2:22" ht="12.75">
      <c r="B5" s="34">
        <v>2007</v>
      </c>
      <c r="C5" s="35">
        <f>Freight_Emissions!K112+Passenger_Emissions!M125</f>
        <v>91610.03811526524</v>
      </c>
      <c r="D5" s="35">
        <f>Freight_Emissions!L112+Passenger_Emissions!N125</f>
        <v>1019874.9396086112</v>
      </c>
      <c r="E5" s="35">
        <f>Freight_Emissions!M112+Passenger_Emissions!O125</f>
        <v>84178.42863411154</v>
      </c>
      <c r="F5" s="35">
        <f>Freight_Emissions!N112+Passenger_Emissions!P125</f>
        <v>12964.367053689017</v>
      </c>
      <c r="G5" s="36">
        <f>Freight_Emissions!O112+Passenger_Emissions!Q125</f>
        <v>4701.178415441618</v>
      </c>
      <c r="I5" s="34">
        <v>2007</v>
      </c>
      <c r="J5" s="35">
        <f>IF(C5&gt;C$20,1,0)</f>
        <v>0</v>
      </c>
      <c r="K5" s="35">
        <f t="shared" si="0"/>
        <v>1</v>
      </c>
      <c r="L5" s="35">
        <f t="shared" si="0"/>
        <v>0</v>
      </c>
      <c r="M5" s="35">
        <f t="shared" si="0"/>
        <v>0</v>
      </c>
      <c r="N5" s="36">
        <f t="shared" si="0"/>
        <v>0</v>
      </c>
      <c r="P5" s="34">
        <v>2007</v>
      </c>
      <c r="Q5" s="35">
        <f t="shared" si="1"/>
        <v>0</v>
      </c>
      <c r="R5" s="35">
        <f t="shared" si="2"/>
        <v>20000000</v>
      </c>
      <c r="S5" s="35">
        <f t="shared" si="3"/>
        <v>0</v>
      </c>
      <c r="T5" s="35">
        <f t="shared" si="4"/>
        <v>0</v>
      </c>
      <c r="U5" s="35">
        <f t="shared" si="5"/>
        <v>0</v>
      </c>
      <c r="V5" s="216">
        <f t="shared" si="6"/>
        <v>20000000</v>
      </c>
    </row>
    <row r="6" spans="2:22" ht="12.75">
      <c r="B6" s="34">
        <v>2008</v>
      </c>
      <c r="C6" s="35">
        <f>Freight_Emissions!K113+Passenger_Emissions!M126</f>
        <v>93285.67388025997</v>
      </c>
      <c r="D6" s="35">
        <f>Freight_Emissions!L113+Passenger_Emissions!N126</f>
        <v>1039158.3232034328</v>
      </c>
      <c r="E6" s="35">
        <f>Freight_Emissions!M113+Passenger_Emissions!O126</f>
        <v>85522.69406167109</v>
      </c>
      <c r="F6" s="35">
        <f>Freight_Emissions!N113+Passenger_Emissions!P126</f>
        <v>13152.488751858935</v>
      </c>
      <c r="G6" s="36">
        <f>Freight_Emissions!O113+Passenger_Emissions!Q126</f>
        <v>4799.777899262424</v>
      </c>
      <c r="I6" s="34">
        <v>2008</v>
      </c>
      <c r="J6" s="35">
        <f>IF(C6&gt;C$20,1,0)</f>
        <v>0</v>
      </c>
      <c r="K6" s="35">
        <f t="shared" si="0"/>
        <v>1</v>
      </c>
      <c r="L6" s="35">
        <f t="shared" si="0"/>
        <v>0</v>
      </c>
      <c r="M6" s="35">
        <f t="shared" si="0"/>
        <v>0</v>
      </c>
      <c r="N6" s="36">
        <f t="shared" si="0"/>
        <v>0</v>
      </c>
      <c r="P6" s="34">
        <v>2008</v>
      </c>
      <c r="Q6" s="35">
        <f t="shared" si="1"/>
        <v>0</v>
      </c>
      <c r="R6" s="35">
        <f t="shared" si="2"/>
        <v>20000000</v>
      </c>
      <c r="S6" s="35">
        <f t="shared" si="3"/>
        <v>0</v>
      </c>
      <c r="T6" s="35">
        <f t="shared" si="4"/>
        <v>0</v>
      </c>
      <c r="U6" s="35">
        <f t="shared" si="5"/>
        <v>0</v>
      </c>
      <c r="V6" s="216">
        <f t="shared" si="6"/>
        <v>20000000</v>
      </c>
    </row>
    <row r="7" spans="2:22" ht="12.75">
      <c r="B7" s="37">
        <v>2009</v>
      </c>
      <c r="C7" s="38">
        <f>Freight_Emissions!K114+Passenger_Emissions!M127</f>
        <v>94979.79401280207</v>
      </c>
      <c r="D7" s="38">
        <f>Freight_Emissions!L114+Passenger_Emissions!N127</f>
        <v>1058679.5917122138</v>
      </c>
      <c r="E7" s="38">
        <f>Freight_Emissions!M114+Passenger_Emissions!O127</f>
        <v>86873.41500919375</v>
      </c>
      <c r="F7" s="38">
        <f>Freight_Emissions!N114+Passenger_Emissions!P127</f>
        <v>13341.460358184491</v>
      </c>
      <c r="G7" s="39">
        <f>Freight_Emissions!O114+Passenger_Emissions!Q127</f>
        <v>4899.6676180453305</v>
      </c>
      <c r="I7" s="37">
        <v>2009</v>
      </c>
      <c r="J7" s="38">
        <f aca="true" t="shared" si="7" ref="J7:N10">IF(C7&gt;C$22,1,0)</f>
        <v>0</v>
      </c>
      <c r="K7" s="38">
        <f t="shared" si="7"/>
        <v>1</v>
      </c>
      <c r="L7" s="38">
        <f t="shared" si="7"/>
        <v>0</v>
      </c>
      <c r="M7" s="38">
        <f t="shared" si="7"/>
        <v>0</v>
      </c>
      <c r="N7" s="39">
        <f t="shared" si="7"/>
        <v>0</v>
      </c>
      <c r="P7" s="37">
        <v>2009</v>
      </c>
      <c r="Q7" s="38">
        <f t="shared" si="1"/>
        <v>0</v>
      </c>
      <c r="R7" s="38">
        <f t="shared" si="2"/>
        <v>20000000</v>
      </c>
      <c r="S7" s="38">
        <f t="shared" si="3"/>
        <v>0</v>
      </c>
      <c r="T7" s="38">
        <f t="shared" si="4"/>
        <v>0</v>
      </c>
      <c r="U7" s="38">
        <f t="shared" si="5"/>
        <v>0</v>
      </c>
      <c r="V7" s="216">
        <f t="shared" si="6"/>
        <v>20000000</v>
      </c>
    </row>
    <row r="8" spans="2:22" ht="12.75">
      <c r="B8" s="37">
        <v>2010</v>
      </c>
      <c r="C8" s="38">
        <f>Freight_Emissions!K115+Passenger_Emissions!M128</f>
        <v>96691.8488017724</v>
      </c>
      <c r="D8" s="38">
        <f>Freight_Emissions!L115+Passenger_Emissions!N128</f>
        <v>1078433.8448593344</v>
      </c>
      <c r="E8" s="38">
        <f>Freight_Emissions!M115+Passenger_Emissions!O128</f>
        <v>88229.85568206948</v>
      </c>
      <c r="F8" s="38">
        <f>Freight_Emissions!N115+Passenger_Emissions!P128</f>
        <v>13531.218946886922</v>
      </c>
      <c r="G8" s="39">
        <f>Freight_Emissions!O115+Passenger_Emissions!Q128</f>
        <v>5000.811263568185</v>
      </c>
      <c r="I8" s="37">
        <v>2010</v>
      </c>
      <c r="J8" s="38">
        <f t="shared" si="7"/>
        <v>0</v>
      </c>
      <c r="K8" s="38">
        <f t="shared" si="7"/>
        <v>1</v>
      </c>
      <c r="L8" s="38">
        <f t="shared" si="7"/>
        <v>0</v>
      </c>
      <c r="M8" s="38">
        <f t="shared" si="7"/>
        <v>1</v>
      </c>
      <c r="N8" s="39">
        <f t="shared" si="7"/>
        <v>1</v>
      </c>
      <c r="P8" s="37">
        <v>2010</v>
      </c>
      <c r="Q8" s="38">
        <f t="shared" si="1"/>
        <v>0</v>
      </c>
      <c r="R8" s="38">
        <f t="shared" si="2"/>
        <v>20000000</v>
      </c>
      <c r="S8" s="38">
        <f t="shared" si="3"/>
        <v>0</v>
      </c>
      <c r="T8" s="38">
        <f t="shared" si="4"/>
        <v>5000000</v>
      </c>
      <c r="U8" s="38">
        <f t="shared" si="5"/>
        <v>5000000</v>
      </c>
      <c r="V8" s="216">
        <f t="shared" si="6"/>
        <v>30000000</v>
      </c>
    </row>
    <row r="9" spans="2:22" ht="12.75">
      <c r="B9" s="37">
        <v>2011</v>
      </c>
      <c r="C9" s="38">
        <f>Freight_Emissions!K116+Passenger_Emissions!M129</f>
        <v>98142.44695871724</v>
      </c>
      <c r="D9" s="38">
        <f>Freight_Emissions!L116+Passenger_Emissions!N129</f>
        <v>1096201.3568400056</v>
      </c>
      <c r="E9" s="38">
        <f>Freight_Emissions!M116+Passenger_Emissions!O129</f>
        <v>89731.7254301389</v>
      </c>
      <c r="F9" s="38">
        <f>Freight_Emissions!N116+Passenger_Emissions!P129</f>
        <v>13780.117332594993</v>
      </c>
      <c r="G9" s="39">
        <f>Freight_Emissions!O116+Passenger_Emissions!Q129</f>
        <v>5147.723222518318</v>
      </c>
      <c r="I9" s="37">
        <v>2011</v>
      </c>
      <c r="J9" s="38">
        <f t="shared" si="7"/>
        <v>0</v>
      </c>
      <c r="K9" s="38">
        <f t="shared" si="7"/>
        <v>1</v>
      </c>
      <c r="L9" s="38">
        <f t="shared" si="7"/>
        <v>0</v>
      </c>
      <c r="M9" s="38">
        <f t="shared" si="7"/>
        <v>1</v>
      </c>
      <c r="N9" s="39">
        <f t="shared" si="7"/>
        <v>1</v>
      </c>
      <c r="P9" s="37">
        <v>2011</v>
      </c>
      <c r="Q9" s="38">
        <f t="shared" si="1"/>
        <v>0</v>
      </c>
      <c r="R9" s="38">
        <f t="shared" si="2"/>
        <v>20000000</v>
      </c>
      <c r="S9" s="38">
        <f t="shared" si="3"/>
        <v>0</v>
      </c>
      <c r="T9" s="38">
        <f t="shared" si="4"/>
        <v>5000000</v>
      </c>
      <c r="U9" s="38">
        <f t="shared" si="5"/>
        <v>5000000</v>
      </c>
      <c r="V9" s="216">
        <f t="shared" si="6"/>
        <v>30000000</v>
      </c>
    </row>
    <row r="10" spans="2:22" ht="12.75">
      <c r="B10" s="37">
        <v>2012</v>
      </c>
      <c r="C10" s="38">
        <f>Freight_Emissions!K117+Passenger_Emissions!M130</f>
        <v>98144.01050015389</v>
      </c>
      <c r="D10" s="38">
        <f>Freight_Emissions!L117+Passenger_Emissions!N130</f>
        <v>1097794.5972551228</v>
      </c>
      <c r="E10" s="38">
        <f>Freight_Emissions!M117+Passenger_Emissions!O130</f>
        <v>89725.44471723046</v>
      </c>
      <c r="F10" s="38">
        <f>Freight_Emissions!N117+Passenger_Emissions!P130</f>
        <v>13871.431690656631</v>
      </c>
      <c r="G10" s="39">
        <f>Freight_Emissions!O117+Passenger_Emissions!Q130</f>
        <v>5170.682584425321</v>
      </c>
      <c r="I10" s="37">
        <v>2012</v>
      </c>
      <c r="J10" s="38">
        <f t="shared" si="7"/>
        <v>0</v>
      </c>
      <c r="K10" s="38">
        <f t="shared" si="7"/>
        <v>1</v>
      </c>
      <c r="L10" s="38">
        <f t="shared" si="7"/>
        <v>0</v>
      </c>
      <c r="M10" s="38">
        <f t="shared" si="7"/>
        <v>1</v>
      </c>
      <c r="N10" s="39">
        <f t="shared" si="7"/>
        <v>1</v>
      </c>
      <c r="P10" s="37">
        <v>2012</v>
      </c>
      <c r="Q10" s="38">
        <f t="shared" si="1"/>
        <v>0</v>
      </c>
      <c r="R10" s="38">
        <f t="shared" si="2"/>
        <v>20000000</v>
      </c>
      <c r="S10" s="38">
        <f t="shared" si="3"/>
        <v>0</v>
      </c>
      <c r="T10" s="38">
        <f t="shared" si="4"/>
        <v>5000000</v>
      </c>
      <c r="U10" s="38">
        <f t="shared" si="5"/>
        <v>5000000</v>
      </c>
      <c r="V10" s="216">
        <f t="shared" si="6"/>
        <v>30000000</v>
      </c>
    </row>
    <row r="11" spans="2:22" ht="12.75">
      <c r="B11" s="40">
        <v>2013</v>
      </c>
      <c r="C11" s="41">
        <f>Freight_Emissions!K118+Passenger_Emissions!M131</f>
        <v>98182.73510616645</v>
      </c>
      <c r="D11" s="41">
        <f>Freight_Emissions!L118+Passenger_Emissions!N131</f>
        <v>1099847.9248433344</v>
      </c>
      <c r="E11" s="41">
        <f>Freight_Emissions!M118+Passenger_Emissions!O131</f>
        <v>89727.64505801194</v>
      </c>
      <c r="F11" s="41">
        <f>Freight_Emissions!N118+Passenger_Emissions!P131</f>
        <v>13962.250680918161</v>
      </c>
      <c r="G11" s="42">
        <f>Freight_Emissions!O118+Passenger_Emissions!Q131</f>
        <v>5194.785921336291</v>
      </c>
      <c r="I11" s="40">
        <v>2013</v>
      </c>
      <c r="J11" s="41">
        <f>IF(C11&gt;C$24,1,0)</f>
        <v>0</v>
      </c>
      <c r="K11" s="41">
        <f aca="true" t="shared" si="8" ref="K11:N14">IF(D11&gt;D$24,1,0)</f>
        <v>1</v>
      </c>
      <c r="L11" s="41">
        <f t="shared" si="8"/>
        <v>1</v>
      </c>
      <c r="M11" s="41">
        <f t="shared" si="8"/>
        <v>1</v>
      </c>
      <c r="N11" s="42">
        <f t="shared" si="8"/>
        <v>1</v>
      </c>
      <c r="P11" s="40">
        <v>2013</v>
      </c>
      <c r="Q11" s="41">
        <f t="shared" si="1"/>
        <v>0</v>
      </c>
      <c r="R11" s="41">
        <f t="shared" si="2"/>
        <v>20000000</v>
      </c>
      <c r="S11" s="41">
        <f t="shared" si="3"/>
        <v>10000000</v>
      </c>
      <c r="T11" s="41">
        <f t="shared" si="4"/>
        <v>5000000</v>
      </c>
      <c r="U11" s="41">
        <f t="shared" si="5"/>
        <v>5000000</v>
      </c>
      <c r="V11" s="216">
        <f t="shared" si="6"/>
        <v>40000000</v>
      </c>
    </row>
    <row r="12" spans="2:22" ht="12.75">
      <c r="B12" s="40">
        <v>2014</v>
      </c>
      <c r="C12" s="41">
        <f>Freight_Emissions!K119+Passenger_Emissions!M132</f>
        <v>98256.90849124007</v>
      </c>
      <c r="D12" s="41">
        <f>Freight_Emissions!L119+Passenger_Emissions!N132</f>
        <v>1102341.2146714162</v>
      </c>
      <c r="E12" s="41">
        <f>Freight_Emissions!M119+Passenger_Emissions!O132</f>
        <v>89737.4215540929</v>
      </c>
      <c r="F12" s="41">
        <f>Freight_Emissions!N119+Passenger_Emissions!P132</f>
        <v>14052.522145519615</v>
      </c>
      <c r="G12" s="42">
        <f>Freight_Emissions!O119+Passenger_Emissions!Q132</f>
        <v>5219.947793339699</v>
      </c>
      <c r="I12" s="40">
        <v>2014</v>
      </c>
      <c r="J12" s="41">
        <f>IF(C12&gt;C$24,1,0)</f>
        <v>0</v>
      </c>
      <c r="K12" s="41">
        <f t="shared" si="8"/>
        <v>1</v>
      </c>
      <c r="L12" s="41">
        <f t="shared" si="8"/>
        <v>1</v>
      </c>
      <c r="M12" s="41">
        <f t="shared" si="8"/>
        <v>1</v>
      </c>
      <c r="N12" s="42">
        <f t="shared" si="8"/>
        <v>1</v>
      </c>
      <c r="P12" s="40">
        <v>2014</v>
      </c>
      <c r="Q12" s="41">
        <f t="shared" si="1"/>
        <v>0</v>
      </c>
      <c r="R12" s="41">
        <f t="shared" si="2"/>
        <v>20000000</v>
      </c>
      <c r="S12" s="41">
        <f t="shared" si="3"/>
        <v>10000000</v>
      </c>
      <c r="T12" s="41">
        <f t="shared" si="4"/>
        <v>5000000</v>
      </c>
      <c r="U12" s="41">
        <f t="shared" si="5"/>
        <v>5000000</v>
      </c>
      <c r="V12" s="216">
        <f t="shared" si="6"/>
        <v>40000000</v>
      </c>
    </row>
    <row r="13" spans="2:22" ht="12.75">
      <c r="B13" s="40">
        <v>2015</v>
      </c>
      <c r="C13" s="41">
        <f>Freight_Emissions!K120+Passenger_Emissions!M133</f>
        <v>98364.80515012224</v>
      </c>
      <c r="D13" s="41">
        <f>Freight_Emissions!L120+Passenger_Emissions!N133</f>
        <v>1105254.1042290549</v>
      </c>
      <c r="E13" s="41">
        <f>Freight_Emissions!M120+Passenger_Emissions!O133</f>
        <v>89753.86870756102</v>
      </c>
      <c r="F13" s="41">
        <f>Freight_Emissions!N120+Passenger_Emissions!P133</f>
        <v>14142.191565073696</v>
      </c>
      <c r="G13" s="42">
        <f>Freight_Emissions!O120+Passenger_Emissions!Q133</f>
        <v>5246.080808697506</v>
      </c>
      <c r="I13" s="40">
        <v>2015</v>
      </c>
      <c r="J13" s="41">
        <f>IF(C13&gt;C$24,1,0)</f>
        <v>0</v>
      </c>
      <c r="K13" s="41">
        <f t="shared" si="8"/>
        <v>1</v>
      </c>
      <c r="L13" s="41">
        <f t="shared" si="8"/>
        <v>1</v>
      </c>
      <c r="M13" s="41">
        <f t="shared" si="8"/>
        <v>1</v>
      </c>
      <c r="N13" s="42">
        <f t="shared" si="8"/>
        <v>1</v>
      </c>
      <c r="P13" s="40">
        <v>2015</v>
      </c>
      <c r="Q13" s="41">
        <f t="shared" si="1"/>
        <v>0</v>
      </c>
      <c r="R13" s="41">
        <f t="shared" si="2"/>
        <v>20000000</v>
      </c>
      <c r="S13" s="41">
        <f t="shared" si="3"/>
        <v>10000000</v>
      </c>
      <c r="T13" s="41">
        <f t="shared" si="4"/>
        <v>5000000</v>
      </c>
      <c r="U13" s="41">
        <f t="shared" si="5"/>
        <v>5000000</v>
      </c>
      <c r="V13" s="216">
        <f t="shared" si="6"/>
        <v>40000000</v>
      </c>
    </row>
    <row r="14" spans="2:22" ht="12.75">
      <c r="B14" s="40">
        <v>2016</v>
      </c>
      <c r="C14" s="41">
        <f>Freight_Emissions!K121+Passenger_Emissions!M134</f>
        <v>100182.58986747374</v>
      </c>
      <c r="D14" s="41">
        <f>Freight_Emissions!L121+Passenger_Emissions!N134</f>
        <v>1125758.081851793</v>
      </c>
      <c r="E14" s="41">
        <f>Freight_Emissions!M121+Passenger_Emissions!O134</f>
        <v>92055.934292515</v>
      </c>
      <c r="F14" s="41">
        <f>Freight_Emissions!N121+Passenger_Emissions!P134</f>
        <v>14463.738219082308</v>
      </c>
      <c r="G14" s="42">
        <f>Freight_Emissions!O121+Passenger_Emissions!Q134</f>
        <v>5427.597187843716</v>
      </c>
      <c r="I14" s="40">
        <v>2016</v>
      </c>
      <c r="J14" s="41">
        <f>IF(C14&gt;C$24,1,0)</f>
        <v>1</v>
      </c>
      <c r="K14" s="41">
        <f t="shared" si="8"/>
        <v>1</v>
      </c>
      <c r="L14" s="41">
        <f t="shared" si="8"/>
        <v>1</v>
      </c>
      <c r="M14" s="41">
        <f t="shared" si="8"/>
        <v>1</v>
      </c>
      <c r="N14" s="42">
        <f t="shared" si="8"/>
        <v>1</v>
      </c>
      <c r="P14" s="40">
        <v>2016</v>
      </c>
      <c r="Q14" s="41">
        <f t="shared" si="1"/>
        <v>10000000</v>
      </c>
      <c r="R14" s="41">
        <f t="shared" si="2"/>
        <v>20000000</v>
      </c>
      <c r="S14" s="41">
        <f t="shared" si="3"/>
        <v>10000000</v>
      </c>
      <c r="T14" s="41">
        <f t="shared" si="4"/>
        <v>5000000</v>
      </c>
      <c r="U14" s="41">
        <f t="shared" si="5"/>
        <v>5000000</v>
      </c>
      <c r="V14" s="216">
        <f t="shared" si="6"/>
        <v>50000000</v>
      </c>
    </row>
    <row r="15" spans="2:22" ht="12.75">
      <c r="B15" s="43">
        <v>2017</v>
      </c>
      <c r="C15" s="44">
        <f>Freight_Emissions!K122+Passenger_Emissions!M135</f>
        <v>100633.7349587466</v>
      </c>
      <c r="D15" s="44">
        <f>Freight_Emissions!L122+Passenger_Emissions!N135</f>
        <v>1130536.3391704825</v>
      </c>
      <c r="E15" s="44">
        <f>Freight_Emissions!M122+Passenger_Emissions!O135</f>
        <v>92623.24594730696</v>
      </c>
      <c r="F15" s="44">
        <f>Freight_Emissions!N122+Passenger_Emissions!P135</f>
        <v>14582.514393754125</v>
      </c>
      <c r="G15" s="45">
        <f>Freight_Emissions!O122+Passenger_Emissions!Q135</f>
        <v>5450.429800196559</v>
      </c>
      <c r="I15" s="43">
        <v>2017</v>
      </c>
      <c r="J15" s="44">
        <f aca="true" t="shared" si="9" ref="J15:N18">IF(C15&gt;C$26,1,0)</f>
        <v>1</v>
      </c>
      <c r="K15" s="44">
        <f t="shared" si="9"/>
        <v>1</v>
      </c>
      <c r="L15" s="44">
        <f t="shared" si="9"/>
        <v>1</v>
      </c>
      <c r="M15" s="44">
        <f t="shared" si="9"/>
        <v>1</v>
      </c>
      <c r="N15" s="45">
        <f t="shared" si="9"/>
        <v>1</v>
      </c>
      <c r="P15" s="43">
        <v>2017</v>
      </c>
      <c r="Q15" s="44">
        <f t="shared" si="1"/>
        <v>10000000</v>
      </c>
      <c r="R15" s="44">
        <f t="shared" si="2"/>
        <v>20000000</v>
      </c>
      <c r="S15" s="44">
        <f t="shared" si="3"/>
        <v>10000000</v>
      </c>
      <c r="T15" s="44">
        <f t="shared" si="4"/>
        <v>5000000</v>
      </c>
      <c r="U15" s="44">
        <f t="shared" si="5"/>
        <v>5000000</v>
      </c>
      <c r="V15" s="216">
        <f t="shared" si="6"/>
        <v>50000000</v>
      </c>
    </row>
    <row r="16" spans="2:22" ht="12.75">
      <c r="B16" s="43">
        <v>2018</v>
      </c>
      <c r="C16" s="44">
        <f>Freight_Emissions!K123+Passenger_Emissions!M136</f>
        <v>101183.45790230404</v>
      </c>
      <c r="D16" s="44">
        <f>Freight_Emissions!L123+Passenger_Emissions!N136</f>
        <v>1136623.3607294927</v>
      </c>
      <c r="E16" s="44">
        <f>Freight_Emissions!M123+Passenger_Emissions!O136</f>
        <v>93587.99022923909</v>
      </c>
      <c r="F16" s="44">
        <f>Freight_Emissions!N123+Passenger_Emissions!P136</f>
        <v>14759.028633843998</v>
      </c>
      <c r="G16" s="45">
        <f>Freight_Emissions!O123+Passenger_Emissions!Q136</f>
        <v>5514.380419986252</v>
      </c>
      <c r="I16" s="43">
        <v>2018</v>
      </c>
      <c r="J16" s="44">
        <f t="shared" si="9"/>
        <v>1</v>
      </c>
      <c r="K16" s="44">
        <f t="shared" si="9"/>
        <v>1</v>
      </c>
      <c r="L16" s="44">
        <f t="shared" si="9"/>
        <v>1</v>
      </c>
      <c r="M16" s="44">
        <f t="shared" si="9"/>
        <v>1</v>
      </c>
      <c r="N16" s="45">
        <f t="shared" si="9"/>
        <v>1</v>
      </c>
      <c r="P16" s="43">
        <v>2018</v>
      </c>
      <c r="Q16" s="44">
        <f t="shared" si="1"/>
        <v>10000000</v>
      </c>
      <c r="R16" s="44">
        <f t="shared" si="2"/>
        <v>20000000</v>
      </c>
      <c r="S16" s="44">
        <f t="shared" si="3"/>
        <v>10000000</v>
      </c>
      <c r="T16" s="44">
        <f t="shared" si="4"/>
        <v>5000000</v>
      </c>
      <c r="U16" s="44">
        <f t="shared" si="5"/>
        <v>5000000</v>
      </c>
      <c r="V16" s="216">
        <f t="shared" si="6"/>
        <v>50000000</v>
      </c>
    </row>
    <row r="17" spans="2:22" ht="12.75">
      <c r="B17" s="43">
        <v>2019</v>
      </c>
      <c r="C17" s="44">
        <f>Freight_Emissions!K124+Passenger_Emissions!M137</f>
        <v>101619.11622999495</v>
      </c>
      <c r="D17" s="44">
        <f>Freight_Emissions!L124+Passenger_Emissions!N137</f>
        <v>1141245.794847814</v>
      </c>
      <c r="E17" s="44">
        <f>Freight_Emissions!M124+Passenger_Emissions!O137</f>
        <v>94145.84541911552</v>
      </c>
      <c r="F17" s="44">
        <f>Freight_Emissions!N124+Passenger_Emissions!P137</f>
        <v>14877.797615621614</v>
      </c>
      <c r="G17" s="45">
        <f>Freight_Emissions!O124+Passenger_Emissions!Q137</f>
        <v>5536.687940412861</v>
      </c>
      <c r="I17" s="43">
        <v>2019</v>
      </c>
      <c r="J17" s="44">
        <f t="shared" si="9"/>
        <v>1</v>
      </c>
      <c r="K17" s="44">
        <f t="shared" si="9"/>
        <v>1</v>
      </c>
      <c r="L17" s="44">
        <f t="shared" si="9"/>
        <v>1</v>
      </c>
      <c r="M17" s="44">
        <f t="shared" si="9"/>
        <v>1</v>
      </c>
      <c r="N17" s="45">
        <f t="shared" si="9"/>
        <v>1</v>
      </c>
      <c r="P17" s="43">
        <v>2019</v>
      </c>
      <c r="Q17" s="44">
        <f t="shared" si="1"/>
        <v>10000000</v>
      </c>
      <c r="R17" s="44">
        <f t="shared" si="2"/>
        <v>20000000</v>
      </c>
      <c r="S17" s="44">
        <f t="shared" si="3"/>
        <v>10000000</v>
      </c>
      <c r="T17" s="44">
        <f t="shared" si="4"/>
        <v>5000000</v>
      </c>
      <c r="U17" s="44">
        <f t="shared" si="5"/>
        <v>5000000</v>
      </c>
      <c r="V17" s="216">
        <f t="shared" si="6"/>
        <v>50000000</v>
      </c>
    </row>
    <row r="18" spans="2:22" ht="13.5" thickBot="1">
      <c r="B18" s="46">
        <v>2020</v>
      </c>
      <c r="C18" s="47">
        <f>Freight_Emissions!K125+Passenger_Emissions!M138</f>
        <v>102049.24926444713</v>
      </c>
      <c r="D18" s="47">
        <f>Freight_Emissions!L125+Passenger_Emissions!N138</f>
        <v>1145813.2717476971</v>
      </c>
      <c r="E18" s="47">
        <f>Freight_Emissions!M125+Passenger_Emissions!O138</f>
        <v>94693.1844229027</v>
      </c>
      <c r="F18" s="47">
        <f>Freight_Emissions!N125+Passenger_Emissions!P138</f>
        <v>14995.50901162719</v>
      </c>
      <c r="G18" s="48">
        <f>Freight_Emissions!O125+Passenger_Emissions!Q138</f>
        <v>5558.105458141356</v>
      </c>
      <c r="I18" s="46">
        <v>2020</v>
      </c>
      <c r="J18" s="47">
        <f t="shared" si="9"/>
        <v>1</v>
      </c>
      <c r="K18" s="47">
        <f t="shared" si="9"/>
        <v>1</v>
      </c>
      <c r="L18" s="47">
        <f t="shared" si="9"/>
        <v>1</v>
      </c>
      <c r="M18" s="47">
        <f t="shared" si="9"/>
        <v>1</v>
      </c>
      <c r="N18" s="48">
        <f t="shared" si="9"/>
        <v>1</v>
      </c>
      <c r="P18" s="46">
        <v>2020</v>
      </c>
      <c r="Q18" s="47">
        <f t="shared" si="1"/>
        <v>10000000</v>
      </c>
      <c r="R18" s="47">
        <f t="shared" si="2"/>
        <v>20000000</v>
      </c>
      <c r="S18" s="47">
        <f t="shared" si="3"/>
        <v>10000000</v>
      </c>
      <c r="T18" s="47">
        <f t="shared" si="4"/>
        <v>5000000</v>
      </c>
      <c r="U18" s="47">
        <f t="shared" si="5"/>
        <v>5000000</v>
      </c>
      <c r="V18" s="216">
        <f t="shared" si="6"/>
        <v>50000000</v>
      </c>
    </row>
    <row r="19" ht="13.5" thickBot="1">
      <c r="V19" s="252">
        <f>SUM(V3:V18)</f>
        <v>540000000</v>
      </c>
    </row>
    <row r="20" spans="1:7" ht="12.75">
      <c r="A20" s="328" t="s">
        <v>78</v>
      </c>
      <c r="B20" s="1" t="s">
        <v>30</v>
      </c>
      <c r="C20" s="103">
        <v>95000</v>
      </c>
      <c r="D20" s="103">
        <v>1000000</v>
      </c>
      <c r="E20" s="103">
        <v>90000</v>
      </c>
      <c r="F20" s="103">
        <v>13500</v>
      </c>
      <c r="G20" s="16">
        <v>5000</v>
      </c>
    </row>
    <row r="21" spans="1:7" ht="13.5" thickBot="1">
      <c r="A21" s="329"/>
      <c r="B21" s="10"/>
      <c r="C21" s="104" t="str">
        <f>IF(OR(C3&gt;C20,C4&gt;C20,C5&gt;C20,C6&gt;C20),"BREACH","safe")</f>
        <v>safe</v>
      </c>
      <c r="D21" s="104" t="str">
        <f>IF(OR(D3&gt;D20,D4&gt;D20,D5&gt;D20,D6&gt;D20),"BREACH","safe")</f>
        <v>BREACH</v>
      </c>
      <c r="E21" s="104" t="str">
        <f>IF(OR(E3&gt;E20,E4&gt;E20,E5&gt;E20,E6&gt;E20),"BREACH","safe")</f>
        <v>safe</v>
      </c>
      <c r="F21" s="104" t="str">
        <f>IF(OR(F3&gt;F20,F4&gt;F20,F5&gt;F20,F6&gt;F20),"BREACH","safe")</f>
        <v>safe</v>
      </c>
      <c r="G21" s="105" t="str">
        <f>IF(OR(G3&gt;G20,G4&gt;G20,G5&gt;G20,G6&gt;G20),"BREACH","safe")</f>
        <v>safe</v>
      </c>
    </row>
    <row r="22" spans="1:7" ht="12.75">
      <c r="A22" s="329"/>
      <c r="B22" s="1" t="s">
        <v>31</v>
      </c>
      <c r="C22" s="103">
        <v>100000</v>
      </c>
      <c r="D22" s="103">
        <v>1000000</v>
      </c>
      <c r="E22" s="103">
        <v>90000</v>
      </c>
      <c r="F22" s="103">
        <v>13500</v>
      </c>
      <c r="G22" s="16">
        <v>5000</v>
      </c>
    </row>
    <row r="23" spans="1:7" ht="13.5" thickBot="1">
      <c r="A23" s="329"/>
      <c r="B23" s="10"/>
      <c r="C23" s="104" t="str">
        <f>IF(OR(C7&gt;C22,C8&gt;C22,C9&gt;C22,C10&gt;C22),"BREACH","safe")</f>
        <v>safe</v>
      </c>
      <c r="D23" s="104" t="str">
        <f>IF(OR(D7&gt;D22,D8&gt;D22,D9&gt;D22,D10&gt;D22),"BREACH","safe")</f>
        <v>BREACH</v>
      </c>
      <c r="E23" s="104" t="str">
        <f>IF(OR(E7&gt;E22,E8&gt;E22,E9&gt;E22,E10&gt;E22),"BREACH","safe")</f>
        <v>safe</v>
      </c>
      <c r="F23" s="104" t="str">
        <f>IF(OR(F7&gt;F22,F8&gt;F22,F9&gt;F22,F10&gt;F22),"BREACH","safe")</f>
        <v>BREACH</v>
      </c>
      <c r="G23" s="105" t="str">
        <f>IF(OR(G7&gt;G22,G8&gt;G22,G9&gt;G22,G10&gt;G22),"BREACH","safe")</f>
        <v>BREACH</v>
      </c>
    </row>
    <row r="24" spans="1:7" ht="12.75">
      <c r="A24" s="329"/>
      <c r="B24" s="1" t="s">
        <v>32</v>
      </c>
      <c r="C24" s="103">
        <v>100000</v>
      </c>
      <c r="D24" s="103">
        <v>1000000</v>
      </c>
      <c r="E24" s="103">
        <v>85000</v>
      </c>
      <c r="F24" s="103">
        <v>13000</v>
      </c>
      <c r="G24" s="16">
        <v>4500</v>
      </c>
    </row>
    <row r="25" spans="1:7" ht="13.5" thickBot="1">
      <c r="A25" s="329"/>
      <c r="B25" s="10"/>
      <c r="C25" s="104" t="str">
        <f>IF(OR(C11&gt;C24,C12&gt;C24,C13&gt;C24,C14&gt;C24),"BREACH","safe")</f>
        <v>BREACH</v>
      </c>
      <c r="D25" s="104" t="str">
        <f>IF(OR(D11&gt;D24,D12&gt;D24,D13&gt;D24,D14&gt;D24),"BREACH","safe")</f>
        <v>BREACH</v>
      </c>
      <c r="E25" s="104" t="str">
        <f>IF(OR(E11&gt;E24,E12&gt;E24,E13&gt;E24,E14&gt;E24),"BREACH","safe")</f>
        <v>BREACH</v>
      </c>
      <c r="F25" s="104" t="str">
        <f>IF(OR(F11&gt;F24,F12&gt;F24,F13&gt;F24,F14&gt;F24),"BREACH","safe")</f>
        <v>BREACH</v>
      </c>
      <c r="G25" s="105" t="str">
        <f>IF(OR(G11&gt;G24,G12&gt;G24,G13&gt;G24,G14&gt;G24),"BREACH","safe")</f>
        <v>BREACH</v>
      </c>
    </row>
    <row r="26" spans="1:7" ht="12.75">
      <c r="A26" s="329"/>
      <c r="B26" s="1" t="s">
        <v>33</v>
      </c>
      <c r="C26" s="103">
        <v>100000</v>
      </c>
      <c r="D26" s="103">
        <v>950000</v>
      </c>
      <c r="E26" s="103">
        <v>85000</v>
      </c>
      <c r="F26" s="103">
        <v>13000</v>
      </c>
      <c r="G26" s="16">
        <v>4500</v>
      </c>
    </row>
    <row r="27" spans="1:7" ht="13.5" thickBot="1">
      <c r="A27" s="330"/>
      <c r="B27" s="10"/>
      <c r="C27" s="104" t="str">
        <f>IF(OR(C15&gt;C26,C16&gt;C26,C17&gt;C26,C18&gt;C26),"BREACH","safe")</f>
        <v>BREACH</v>
      </c>
      <c r="D27" s="104" t="str">
        <f>IF(OR(D15&gt;D26,D16&gt;D26,D17&gt;D26,D18&gt;D26),"BREACH","safe")</f>
        <v>BREACH</v>
      </c>
      <c r="E27" s="104" t="str">
        <f>IF(OR(E15&gt;E26,E16&gt;E26,E17&gt;E26,E18&gt;E26),"BREACH","safe")</f>
        <v>BREACH</v>
      </c>
      <c r="F27" s="104" t="str">
        <f>IF(OR(F15&gt;F26,F16&gt;F26,F17&gt;F26,F18&gt;F26),"BREACH","safe")</f>
        <v>BREACH</v>
      </c>
      <c r="G27" s="105" t="str">
        <f>IF(OR(G15&gt;G26,G16&gt;G26,G17&gt;G26,G18&gt;G26),"BREACH","safe")</f>
        <v>BREACH</v>
      </c>
    </row>
    <row r="28" ht="13.5" thickBot="1"/>
    <row r="29" spans="1:7" ht="26.25" thickBot="1">
      <c r="A29" s="243" t="s">
        <v>79</v>
      </c>
      <c r="B29" s="134"/>
      <c r="C29" s="244">
        <v>10000000</v>
      </c>
      <c r="D29" s="244">
        <v>20000000</v>
      </c>
      <c r="E29" s="244">
        <v>10000000</v>
      </c>
      <c r="F29" s="244">
        <v>5000000</v>
      </c>
      <c r="G29" s="245">
        <v>5000000</v>
      </c>
    </row>
  </sheetData>
  <mergeCells count="1">
    <mergeCell ref="A20:A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11" width="16.57421875" style="0" customWidth="1"/>
    <col min="12" max="12" width="17.7109375" style="0" customWidth="1"/>
  </cols>
  <sheetData>
    <row r="1" spans="1:12" s="155" customFormat="1" ht="39" thickBot="1">
      <c r="A1" s="292" t="s">
        <v>15</v>
      </c>
      <c r="B1" s="293" t="s">
        <v>80</v>
      </c>
      <c r="C1" s="293" t="s">
        <v>81</v>
      </c>
      <c r="D1" s="294" t="s">
        <v>26</v>
      </c>
      <c r="E1" s="292" t="s">
        <v>27</v>
      </c>
      <c r="F1" s="294" t="s">
        <v>91</v>
      </c>
      <c r="G1" s="292" t="s">
        <v>87</v>
      </c>
      <c r="H1" s="293" t="s">
        <v>88</v>
      </c>
      <c r="I1" s="293" t="s">
        <v>89</v>
      </c>
      <c r="J1" s="294" t="s">
        <v>90</v>
      </c>
      <c r="K1" s="295" t="s">
        <v>29</v>
      </c>
      <c r="L1" s="248"/>
    </row>
    <row r="2" spans="1:11" ht="12.75">
      <c r="A2" s="3">
        <v>2005</v>
      </c>
      <c r="B2" s="15">
        <f>Passenger_Emissions!G26+Passenger_Emissions!G42+Passenger_Emissions!G58+Passenger_Emissions!G74</f>
        <v>21189823707.75779</v>
      </c>
      <c r="C2" s="15">
        <f>(Freight_Emissions!E13+Freight_Emissions!E29+Freight_Emissions!E45+Freight_Emissions!E61)</f>
        <v>8122500000</v>
      </c>
      <c r="D2" s="18">
        <v>21000000000</v>
      </c>
      <c r="E2" s="17">
        <f>IF(D2&gt;(B2+C2),0,B2+C2-D2)</f>
        <v>8312323707.75779</v>
      </c>
      <c r="F2" s="18">
        <f>1/60*IF(AND(E2/D2&gt;0.1,E2/D2&lt;0.2),(B2+C2)*0.25,IF(AND(E2/D2&gt;0.2,E2/D2&lt;0.3),(B2+C2)*0.5,IF(AND(E2/D2&gt;0.3,E2/D2&lt;0.4),(B2+C2)*1,IF(AND(E2/D2&gt;0.4,E2/D2&lt;0.5),(B2+C2)*2,IF(E2/D2&gt;0.5,(B2+C2*4))))))</f>
        <v>488538728.4626298</v>
      </c>
      <c r="G2" s="17">
        <f>F2*(B2/(C2+B2))</f>
        <v>353163728.4626298</v>
      </c>
      <c r="H2" s="249">
        <f>G2*1.2</f>
        <v>423796474.1551557</v>
      </c>
      <c r="I2" s="15">
        <f>F2*C2/(C2+B2)</f>
        <v>135375000</v>
      </c>
      <c r="J2" s="18">
        <f>I2*11.2</f>
        <v>1516200000</v>
      </c>
      <c r="K2" s="216">
        <f>J2+H2</f>
        <v>1939996474.1551557</v>
      </c>
    </row>
    <row r="3" spans="1:11" ht="12.75">
      <c r="A3" s="3">
        <v>2006</v>
      </c>
      <c r="B3" s="15">
        <f>Passenger_Emissions!G27+Passenger_Emissions!G43+Passenger_Emissions!G59+Passenger_Emissions!G75</f>
        <v>22127287527.48127</v>
      </c>
      <c r="C3" s="15">
        <f>(Freight_Emissions!E14+Freight_Emissions!E30+Freight_Emissions!E46+Freight_Emissions!E62)</f>
        <v>8225313750</v>
      </c>
      <c r="D3" s="18">
        <f aca="true" t="shared" si="0" ref="D3:D17">D2*(1+$D$19)</f>
        <v>21420000000</v>
      </c>
      <c r="E3" s="17">
        <f aca="true" t="shared" si="1" ref="E3:E17">IF(D3&gt;(B3+C3),0,B3+C3-D3)</f>
        <v>8932601277.48127</v>
      </c>
      <c r="F3" s="18">
        <f aca="true" t="shared" si="2" ref="F3:F17">1/60*IF(AND(E3/D3&gt;0.1,E3/D3&lt;0.2),(B3+C3)*0.25,IF(AND(E3/D3&gt;0.2,E3/D3&lt;0.3),(B3+C3)*0.5,IF(AND(E3/D3&gt;0.3,E3/D3&lt;0.4),(B3+C3)*1,IF(AND(E3/D3&gt;0.4,E3/D3&lt;0.5),(B3+C3)*2,IF(E3/D3&gt;0.5,(B3+C3*4))))))</f>
        <v>1011753375.9160423</v>
      </c>
      <c r="G3" s="17">
        <f aca="true" t="shared" si="3" ref="G3:G17">F3*(B3/(C3+B3))</f>
        <v>737576250.9160423</v>
      </c>
      <c r="H3" s="249">
        <f aca="true" t="shared" si="4" ref="H3:H17">G3*1.2</f>
        <v>885091501.0992508</v>
      </c>
      <c r="I3" s="15">
        <f aca="true" t="shared" si="5" ref="I3:I17">F3*C3/(C3+B3)</f>
        <v>274177125</v>
      </c>
      <c r="J3" s="18">
        <f aca="true" t="shared" si="6" ref="J3:J17">I3*11.2</f>
        <v>3070783800</v>
      </c>
      <c r="K3" s="216">
        <f aca="true" t="shared" si="7" ref="K3:K17">J3+H3</f>
        <v>3955875301.099251</v>
      </c>
    </row>
    <row r="4" spans="1:11" ht="12.75">
      <c r="A4" s="3">
        <v>2007</v>
      </c>
      <c r="B4" s="15">
        <f>Passenger_Emissions!G28+Passenger_Emissions!G44+Passenger_Emissions!G60+Passenger_Emissions!G76</f>
        <v>22567325770.621338</v>
      </c>
      <c r="C4" s="15">
        <f>(Freight_Emissions!E15+Freight_Emissions!E31+Freight_Emissions!E47+Freight_Emissions!E63)</f>
        <v>8328281293.124999</v>
      </c>
      <c r="D4" s="18">
        <f t="shared" si="0"/>
        <v>21848400000</v>
      </c>
      <c r="E4" s="17">
        <f t="shared" si="1"/>
        <v>9047207063.746338</v>
      </c>
      <c r="F4" s="18">
        <f t="shared" si="2"/>
        <v>1029853568.7915446</v>
      </c>
      <c r="G4" s="17">
        <f t="shared" si="3"/>
        <v>752244192.3540446</v>
      </c>
      <c r="H4" s="249">
        <f t="shared" si="4"/>
        <v>902693030.8248534</v>
      </c>
      <c r="I4" s="15">
        <f t="shared" si="5"/>
        <v>277609376.43749994</v>
      </c>
      <c r="J4" s="18">
        <f t="shared" si="6"/>
        <v>3109225016.099999</v>
      </c>
      <c r="K4" s="216">
        <f t="shared" si="7"/>
        <v>4011918046.9248524</v>
      </c>
    </row>
    <row r="5" spans="1:11" ht="12.75">
      <c r="A5" s="3">
        <v>2008</v>
      </c>
      <c r="B5" s="15">
        <f>Passenger_Emissions!G29+Passenger_Emissions!G45+Passenger_Emissions!G61+Passenger_Emissions!G77</f>
        <v>23013257853.899246</v>
      </c>
      <c r="C5" s="15">
        <f>(Freight_Emissions!E16+Freight_Emissions!E32+Freight_Emissions!E48+Freight_Emissions!E64)</f>
        <v>8431439578.253437</v>
      </c>
      <c r="D5" s="18">
        <f t="shared" si="0"/>
        <v>22285368000</v>
      </c>
      <c r="E5" s="17">
        <f t="shared" si="1"/>
        <v>9159329432.152683</v>
      </c>
      <c r="F5" s="18">
        <f t="shared" si="2"/>
        <v>1048156581.0717561</v>
      </c>
      <c r="G5" s="17">
        <f t="shared" si="3"/>
        <v>767108595.129975</v>
      </c>
      <c r="H5" s="249">
        <f t="shared" si="4"/>
        <v>920530314.15597</v>
      </c>
      <c r="I5" s="15">
        <f t="shared" si="5"/>
        <v>281047985.9417812</v>
      </c>
      <c r="J5" s="18">
        <f t="shared" si="6"/>
        <v>3147737442.5479493</v>
      </c>
      <c r="K5" s="216">
        <f t="shared" si="7"/>
        <v>4068267756.7039194</v>
      </c>
    </row>
    <row r="6" spans="1:11" ht="12.75">
      <c r="A6" s="3">
        <v>2009</v>
      </c>
      <c r="B6" s="15">
        <f>Passenger_Emissions!G30+Passenger_Emissions!G46+Passenger_Emissions!G62+Passenger_Emissions!G78</f>
        <v>23464991538.470425</v>
      </c>
      <c r="C6" s="15">
        <f>(Freight_Emissions!E17+Freight_Emissions!E33+Freight_Emissions!E49+Freight_Emissions!E65)</f>
        <v>8534824489.609173</v>
      </c>
      <c r="D6" s="18">
        <f t="shared" si="0"/>
        <v>22731075360</v>
      </c>
      <c r="E6" s="17">
        <f t="shared" si="1"/>
        <v>9268740668.079597</v>
      </c>
      <c r="F6" s="18">
        <f t="shared" si="2"/>
        <v>1066660534.2693199</v>
      </c>
      <c r="G6" s="17">
        <f t="shared" si="3"/>
        <v>782166384.6156808</v>
      </c>
      <c r="H6" s="249">
        <f t="shared" si="4"/>
        <v>938599661.5388169</v>
      </c>
      <c r="I6" s="15">
        <f t="shared" si="5"/>
        <v>284494149.6536391</v>
      </c>
      <c r="J6" s="18">
        <f t="shared" si="6"/>
        <v>3186334476.1207576</v>
      </c>
      <c r="K6" s="216">
        <f t="shared" si="7"/>
        <v>4124934137.6595745</v>
      </c>
    </row>
    <row r="7" spans="1:11" ht="12.75">
      <c r="A7" s="3">
        <v>2010</v>
      </c>
      <c r="B7" s="15">
        <f>Passenger_Emissions!G31+Passenger_Emissions!G47+Passenger_Emissions!G63+Passenger_Emissions!G79</f>
        <v>23922421967.899193</v>
      </c>
      <c r="C7" s="15">
        <f>(Freight_Emissions!E18+Freight_Emissions!E34+Freight_Emissions!E50+Freight_Emissions!E66)</f>
        <v>8638470894.197752</v>
      </c>
      <c r="D7" s="18">
        <f t="shared" si="0"/>
        <v>23185696867.2</v>
      </c>
      <c r="E7" s="17">
        <f t="shared" si="1"/>
        <v>9375195994.896946</v>
      </c>
      <c r="F7" s="18">
        <f t="shared" si="2"/>
        <v>1085363095.4032316</v>
      </c>
      <c r="G7" s="17">
        <f t="shared" si="3"/>
        <v>797414065.5966398</v>
      </c>
      <c r="H7" s="249">
        <f t="shared" si="4"/>
        <v>956896878.7159677</v>
      </c>
      <c r="I7" s="15">
        <f t="shared" si="5"/>
        <v>287949029.80659175</v>
      </c>
      <c r="J7" s="18">
        <f t="shared" si="6"/>
        <v>3225029133.8338275</v>
      </c>
      <c r="K7" s="216">
        <f t="shared" si="7"/>
        <v>4181926012.549795</v>
      </c>
    </row>
    <row r="8" spans="1:11" ht="12.75">
      <c r="A8" s="3">
        <v>2011</v>
      </c>
      <c r="B8" s="15">
        <f>Passenger_Emissions!G32+Passenger_Emissions!G48+Passenger_Emissions!G64+Passenger_Emissions!G80</f>
        <v>24986815885.867218</v>
      </c>
      <c r="C8" s="15">
        <f>(Freight_Emissions!E19+Freight_Emissions!E35+Freight_Emissions!E51+Freight_Emissions!E67)</f>
        <v>8742412687.364672</v>
      </c>
      <c r="D8" s="18">
        <f t="shared" si="0"/>
        <v>23649410804.544003</v>
      </c>
      <c r="E8" s="17">
        <f t="shared" si="1"/>
        <v>10079817768.687885</v>
      </c>
      <c r="F8" s="18">
        <f t="shared" si="2"/>
        <v>1124307619.1077297</v>
      </c>
      <c r="G8" s="17">
        <f t="shared" si="3"/>
        <v>832893862.8622407</v>
      </c>
      <c r="H8" s="249">
        <f t="shared" si="4"/>
        <v>999472635.4346888</v>
      </c>
      <c r="I8" s="15">
        <f t="shared" si="5"/>
        <v>291413756.24548906</v>
      </c>
      <c r="J8" s="18">
        <f t="shared" si="6"/>
        <v>3263834069.949477</v>
      </c>
      <c r="K8" s="216">
        <f t="shared" si="7"/>
        <v>4263306705.384166</v>
      </c>
    </row>
    <row r="9" spans="1:11" ht="12.75">
      <c r="A9" s="3">
        <v>2012</v>
      </c>
      <c r="B9" s="15">
        <f>Passenger_Emissions!G33+Passenger_Emissions!G49+Passenger_Emissions!G65+Passenger_Emissions!G81</f>
        <v>25480664990.087402</v>
      </c>
      <c r="C9" s="15">
        <f>(Freight_Emissions!E20+Freight_Emissions!E36+Freight_Emissions!E52+Freight_Emissions!E68)</f>
        <v>8846682836.552147</v>
      </c>
      <c r="D9" s="18">
        <f t="shared" si="0"/>
        <v>24122399020.634884</v>
      </c>
      <c r="E9" s="17">
        <f t="shared" si="1"/>
        <v>10204948806.004665</v>
      </c>
      <c r="F9" s="18">
        <f t="shared" si="2"/>
        <v>1144244927.5546517</v>
      </c>
      <c r="G9" s="17">
        <f t="shared" si="3"/>
        <v>849355499.6695801</v>
      </c>
      <c r="H9" s="249">
        <f t="shared" si="4"/>
        <v>1019226599.6034961</v>
      </c>
      <c r="I9" s="15">
        <f t="shared" si="5"/>
        <v>294889427.8850716</v>
      </c>
      <c r="J9" s="18">
        <f t="shared" si="6"/>
        <v>3302761592.3128014</v>
      </c>
      <c r="K9" s="216">
        <f t="shared" si="7"/>
        <v>4321988191.916298</v>
      </c>
    </row>
    <row r="10" spans="1:11" ht="12.75">
      <c r="A10" s="3">
        <v>2013</v>
      </c>
      <c r="B10" s="15">
        <f>Passenger_Emissions!G34+Passenger_Emissions!G50+Passenger_Emissions!G66+Passenger_Emissions!G82</f>
        <v>25980784856.548527</v>
      </c>
      <c r="C10" s="15">
        <f>(Freight_Emissions!E21+Freight_Emissions!E37+Freight_Emissions!E53+Freight_Emissions!E69)</f>
        <v>8951313423.32779</v>
      </c>
      <c r="D10" s="18">
        <f t="shared" si="0"/>
        <v>24604847001.04758</v>
      </c>
      <c r="E10" s="17">
        <f t="shared" si="1"/>
        <v>10327251278.828732</v>
      </c>
      <c r="F10" s="18">
        <f t="shared" si="2"/>
        <v>1164403275.995877</v>
      </c>
      <c r="G10" s="17">
        <f t="shared" si="3"/>
        <v>866026161.8849509</v>
      </c>
      <c r="H10" s="249">
        <f t="shared" si="4"/>
        <v>1039231394.261941</v>
      </c>
      <c r="I10" s="15">
        <f t="shared" si="5"/>
        <v>298377114.1109263</v>
      </c>
      <c r="J10" s="18">
        <f t="shared" si="6"/>
        <v>3341823678.042374</v>
      </c>
      <c r="K10" s="216">
        <f t="shared" si="7"/>
        <v>4381055072.304316</v>
      </c>
    </row>
    <row r="11" spans="1:11" ht="12.75">
      <c r="A11" s="3">
        <v>2014</v>
      </c>
      <c r="B11" s="15">
        <f>Passenger_Emissions!G35+Passenger_Emissions!G51+Passenger_Emissions!G67+Passenger_Emissions!G83</f>
        <v>26487038252.27743</v>
      </c>
      <c r="C11" s="15">
        <f>(Freight_Emissions!E22+Freight_Emissions!E38+Freight_Emissions!E54+Freight_Emissions!E70)</f>
        <v>9056335683.75558</v>
      </c>
      <c r="D11" s="18">
        <f t="shared" si="0"/>
        <v>25096943941.06853</v>
      </c>
      <c r="E11" s="17">
        <f t="shared" si="1"/>
        <v>10446429994.964481</v>
      </c>
      <c r="F11" s="18">
        <f t="shared" si="2"/>
        <v>1184779131.2011003</v>
      </c>
      <c r="G11" s="17">
        <f t="shared" si="3"/>
        <v>882901275.0759144</v>
      </c>
      <c r="H11" s="249">
        <f t="shared" si="4"/>
        <v>1059481530.0910972</v>
      </c>
      <c r="I11" s="15">
        <f t="shared" si="5"/>
        <v>301877856.125186</v>
      </c>
      <c r="J11" s="18">
        <f t="shared" si="6"/>
        <v>3381031988.602083</v>
      </c>
      <c r="K11" s="216">
        <f t="shared" si="7"/>
        <v>4440513518.69318</v>
      </c>
    </row>
    <row r="12" spans="1:11" ht="12.75">
      <c r="A12" s="3">
        <v>2015</v>
      </c>
      <c r="B12" s="15">
        <f>Passenger_Emissions!G36+Passenger_Emissions!G52+Passenger_Emissions!G68+Passenger_Emissions!G84</f>
        <v>26999271765.207653</v>
      </c>
      <c r="C12" s="15">
        <f>(Freight_Emissions!E23+Freight_Emissions!E39+Freight_Emissions!E55+Freight_Emissions!E71)</f>
        <v>9161780047.17677</v>
      </c>
      <c r="D12" s="18">
        <f t="shared" si="0"/>
        <v>25598882819.8899</v>
      </c>
      <c r="E12" s="17">
        <f t="shared" si="1"/>
        <v>10562168992.494522</v>
      </c>
      <c r="F12" s="18">
        <f t="shared" si="2"/>
        <v>1205368393.7461474</v>
      </c>
      <c r="G12" s="17">
        <f t="shared" si="3"/>
        <v>899975725.5069218</v>
      </c>
      <c r="H12" s="249">
        <f t="shared" si="4"/>
        <v>1079970870.6083062</v>
      </c>
      <c r="I12" s="15">
        <f t="shared" si="5"/>
        <v>305392668.2392256</v>
      </c>
      <c r="J12" s="18">
        <f t="shared" si="6"/>
        <v>3420397884.279327</v>
      </c>
      <c r="K12" s="216">
        <f t="shared" si="7"/>
        <v>4500368754.887633</v>
      </c>
    </row>
    <row r="13" spans="1:11" ht="12.75">
      <c r="A13" s="3">
        <v>2016</v>
      </c>
      <c r="B13" s="15">
        <f>Passenger_Emissions!G37+Passenger_Emissions!G53+Passenger_Emissions!G69+Passenger_Emissions!G85</f>
        <v>28269541454.9597</v>
      </c>
      <c r="C13" s="15">
        <f>(Freight_Emissions!E24+Freight_Emissions!E40+Freight_Emissions!E56+Freight_Emissions!E72)</f>
        <v>9259109177.975332</v>
      </c>
      <c r="D13" s="18">
        <f t="shared" si="0"/>
        <v>26110860476.287697</v>
      </c>
      <c r="E13" s="17">
        <f t="shared" si="1"/>
        <v>11417790156.647339</v>
      </c>
      <c r="F13" s="18">
        <f t="shared" si="2"/>
        <v>1250955021.0978346</v>
      </c>
      <c r="G13" s="17">
        <f t="shared" si="3"/>
        <v>942318048.4986569</v>
      </c>
      <c r="H13" s="249">
        <f t="shared" si="4"/>
        <v>1130781658.198388</v>
      </c>
      <c r="I13" s="15">
        <f t="shared" si="5"/>
        <v>308636972.5991777</v>
      </c>
      <c r="J13" s="18">
        <f t="shared" si="6"/>
        <v>3456734093.1107903</v>
      </c>
      <c r="K13" s="216">
        <f t="shared" si="7"/>
        <v>4587515751.309178</v>
      </c>
    </row>
    <row r="14" spans="1:11" ht="12.75">
      <c r="A14" s="3">
        <v>2017</v>
      </c>
      <c r="B14" s="15">
        <f>Passenger_Emissions!G38+Passenger_Emissions!G54+Passenger_Emissions!G70+Passenger_Emissions!G86</f>
        <v>28825098969.40484</v>
      </c>
      <c r="C14" s="15">
        <f>(Freight_Emissions!E25+Freight_Emissions!E41+Freight_Emissions!E57+Freight_Emissions!E73)</f>
        <v>9357353344.512552</v>
      </c>
      <c r="D14" s="18">
        <f t="shared" si="0"/>
        <v>26633077685.81345</v>
      </c>
      <c r="E14" s="17">
        <f t="shared" si="1"/>
        <v>11549374628.10394</v>
      </c>
      <c r="F14" s="18">
        <f t="shared" si="2"/>
        <v>1272748410.463913</v>
      </c>
      <c r="G14" s="17">
        <f t="shared" si="3"/>
        <v>960836632.3134946</v>
      </c>
      <c r="H14" s="249">
        <f t="shared" si="4"/>
        <v>1153003958.7761934</v>
      </c>
      <c r="I14" s="15">
        <f t="shared" si="5"/>
        <v>311911778.1504184</v>
      </c>
      <c r="J14" s="18">
        <f t="shared" si="6"/>
        <v>3493411915.284686</v>
      </c>
      <c r="K14" s="216">
        <f t="shared" si="7"/>
        <v>4646415874.06088</v>
      </c>
    </row>
    <row r="15" spans="1:11" ht="12.75">
      <c r="A15" s="3">
        <v>2018</v>
      </c>
      <c r="B15" s="15">
        <f>Passenger_Emissions!G39+Passenger_Emissions!G55+Passenger_Emissions!G71+Passenger_Emissions!G87</f>
        <v>29558930002.16787</v>
      </c>
      <c r="C15" s="15">
        <f>(Freight_Emissions!E26+Freight_Emissions!E42+Freight_Emissions!E58+Freight_Emissions!E74)</f>
        <v>9456522291.35262</v>
      </c>
      <c r="D15" s="18">
        <f t="shared" si="0"/>
        <v>27165739239.52972</v>
      </c>
      <c r="E15" s="17">
        <f t="shared" si="1"/>
        <v>11849713053.990772</v>
      </c>
      <c r="F15" s="18">
        <f t="shared" si="2"/>
        <v>1300515076.450683</v>
      </c>
      <c r="G15" s="17">
        <f t="shared" si="3"/>
        <v>985297666.738929</v>
      </c>
      <c r="H15" s="249">
        <f t="shared" si="4"/>
        <v>1182357200.0867147</v>
      </c>
      <c r="I15" s="15">
        <f t="shared" si="5"/>
        <v>315217409.71175396</v>
      </c>
      <c r="J15" s="18">
        <f t="shared" si="6"/>
        <v>3530434988.771644</v>
      </c>
      <c r="K15" s="216">
        <f t="shared" si="7"/>
        <v>4712792188.858358</v>
      </c>
    </row>
    <row r="16" spans="1:11" ht="12.75">
      <c r="A16" s="3">
        <v>2019</v>
      </c>
      <c r="B16" s="15">
        <f>Passenger_Emissions!G40+Passenger_Emissions!G56+Passenger_Emissions!G72+Passenger_Emissions!G88</f>
        <v>30134627383.62068</v>
      </c>
      <c r="C16" s="15">
        <f>(Freight_Emissions!E27+Freight_Emissions!E43+Freight_Emissions!E59+Freight_Emissions!E75)</f>
        <v>9556625854.444456</v>
      </c>
      <c r="D16" s="18">
        <f t="shared" si="0"/>
        <v>27709054024.320316</v>
      </c>
      <c r="E16" s="17">
        <f t="shared" si="1"/>
        <v>11982199213.744823</v>
      </c>
      <c r="F16" s="18">
        <f t="shared" si="2"/>
        <v>1323041774.6021714</v>
      </c>
      <c r="G16" s="17">
        <f t="shared" si="3"/>
        <v>1004487579.4540228</v>
      </c>
      <c r="H16" s="249">
        <f t="shared" si="4"/>
        <v>1205385095.3448272</v>
      </c>
      <c r="I16" s="15">
        <f t="shared" si="5"/>
        <v>318554195.14814854</v>
      </c>
      <c r="J16" s="18">
        <f t="shared" si="6"/>
        <v>3567806985.6592636</v>
      </c>
      <c r="K16" s="216">
        <f t="shared" si="7"/>
        <v>4773192081.004091</v>
      </c>
    </row>
    <row r="17" spans="1:11" ht="13.5" thickBot="1">
      <c r="A17" s="10">
        <v>2020</v>
      </c>
      <c r="B17" s="247">
        <f>Passenger_Emissions!G41+Passenger_Emissions!G57+Passenger_Emissions!G73+Passenger_Emissions!G89</f>
        <v>30716729132.603413</v>
      </c>
      <c r="C17" s="247">
        <f>(Freight_Emissions!E28+Freight_Emissions!E44+Freight_Emissions!E60+Freight_Emissions!E76)</f>
        <v>9657673962.097393</v>
      </c>
      <c r="D17" s="106">
        <f t="shared" si="0"/>
        <v>28263235104.806725</v>
      </c>
      <c r="E17" s="19">
        <f t="shared" si="1"/>
        <v>12111167989.894081</v>
      </c>
      <c r="F17" s="106">
        <f t="shared" si="2"/>
        <v>1345813436.490027</v>
      </c>
      <c r="G17" s="19">
        <f t="shared" si="3"/>
        <v>1023890971.0867805</v>
      </c>
      <c r="H17" s="250">
        <f t="shared" si="4"/>
        <v>1228669165.3041365</v>
      </c>
      <c r="I17" s="247">
        <f t="shared" si="5"/>
        <v>321922465.40324646</v>
      </c>
      <c r="J17" s="106">
        <f t="shared" si="6"/>
        <v>3605531612.5163603</v>
      </c>
      <c r="K17" s="217">
        <f t="shared" si="7"/>
        <v>4834200777.820497</v>
      </c>
    </row>
    <row r="18" spans="7:12" ht="13.5" thickBot="1">
      <c r="G18" s="33"/>
      <c r="H18" s="252">
        <f>SUM(H2:H17)</f>
        <v>16125187968.199806</v>
      </c>
      <c r="I18" s="251"/>
      <c r="J18" s="252">
        <f>SUM(J2:J17)</f>
        <v>51619078677.13133</v>
      </c>
      <c r="K18" s="252">
        <f>SUM(K2:K17)</f>
        <v>67744266645.33116</v>
      </c>
      <c r="L18" s="33"/>
    </row>
    <row r="19" spans="3:10" ht="26.25" thickBot="1">
      <c r="C19" s="296" t="s">
        <v>28</v>
      </c>
      <c r="D19" s="246">
        <v>0.02</v>
      </c>
      <c r="G19" s="12"/>
      <c r="J19" s="12"/>
    </row>
    <row r="22" ht="12.75">
      <c r="H22" s="13"/>
    </row>
    <row r="23" ht="12.75">
      <c r="H23" s="13"/>
    </row>
    <row r="24" ht="12.75">
      <c r="H24" s="13"/>
    </row>
    <row r="25" ht="12.75">
      <c r="H25" s="13"/>
    </row>
    <row r="26" ht="12.75">
      <c r="H26" s="13"/>
    </row>
    <row r="27" ht="12.75">
      <c r="H27" s="13"/>
    </row>
    <row r="28" ht="12.75">
      <c r="H28" s="13"/>
    </row>
    <row r="29" ht="12.75">
      <c r="H29" s="13"/>
    </row>
    <row r="30" ht="12.75">
      <c r="H30" s="13"/>
    </row>
    <row r="31" ht="12.75">
      <c r="H31" s="13"/>
    </row>
    <row r="32" ht="12.75">
      <c r="H32" s="13"/>
    </row>
    <row r="33" ht="12.75">
      <c r="H33" s="13"/>
    </row>
    <row r="34" ht="12.75">
      <c r="H34" s="13"/>
    </row>
    <row r="35" ht="12.75">
      <c r="H35" s="13"/>
    </row>
    <row r="36" spans="6:12" ht="12.75">
      <c r="F36" s="13"/>
      <c r="G36" s="13"/>
      <c r="H36" s="13"/>
      <c r="L36" s="13"/>
    </row>
    <row r="37" spans="6:9" ht="12.75">
      <c r="F37" s="13"/>
      <c r="G37" s="13"/>
      <c r="H37" s="13"/>
      <c r="I37" s="12"/>
    </row>
    <row r="38" spans="6:8" ht="12.75">
      <c r="F38" s="13"/>
      <c r="G38" s="13"/>
      <c r="H38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P Dunn</dc:creator>
  <cp:keywords/>
  <dc:description/>
  <cp:lastModifiedBy>Keith McCluskey</cp:lastModifiedBy>
  <cp:lastPrinted>2004-08-12T21:01:39Z</cp:lastPrinted>
  <dcterms:created xsi:type="dcterms:W3CDTF">2004-08-11T15:21:57Z</dcterms:created>
  <dcterms:modified xsi:type="dcterms:W3CDTF">2005-06-24T14:39:36Z</dcterms:modified>
  <cp:category/>
  <cp:version/>
  <cp:contentType/>
  <cp:contentStatus/>
</cp:coreProperties>
</file>