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6540" activeTab="0"/>
  </bookViews>
  <sheets>
    <sheet name="introduction" sheetId="1" r:id="rId1"/>
    <sheet name="calculations" sheetId="2" r:id="rId2"/>
    <sheet name="linearization plots" sheetId="3" r:id="rId3"/>
    <sheet name="disturbance cost plots" sheetId="4" r:id="rId4"/>
    <sheet name="simulation plots" sheetId="5" r:id="rId5"/>
  </sheets>
  <definedNames>
    <definedName name="delF">'calculations'!$K$8</definedName>
    <definedName name="delFc">'calculations'!$K$6</definedName>
    <definedName name="delFh">'calculations'!$K$4</definedName>
    <definedName name="delT">'calculations'!$K$9</definedName>
    <definedName name="delTc">'calculations'!$K$7</definedName>
    <definedName name="delTh">'calculations'!$K$5</definedName>
    <definedName name="Fcmax">'calculations'!$H$6</definedName>
    <definedName name="Fcmin">'calculations'!$E$6</definedName>
    <definedName name="Fcr">'calculations'!$B$6</definedName>
    <definedName name="Fhmax">'calculations'!$H$4</definedName>
    <definedName name="Fhmin">'calculations'!$E$4</definedName>
    <definedName name="Fhr">'calculations'!$B$4</definedName>
    <definedName name="floFsp">'calculations'!$B$55</definedName>
    <definedName name="floTc">'calculations'!$B$58</definedName>
    <definedName name="floTh">'calculations'!$B$57</definedName>
    <definedName name="floTsp">'calculations'!$B$56</definedName>
    <definedName name="Fmax">'calculations'!$H$8</definedName>
    <definedName name="Fmin">'calculations'!$E$8</definedName>
    <definedName name="Fr">'calculations'!$B$8</definedName>
    <definedName name="KCF">'calculations'!$B$52</definedName>
    <definedName name="KCFmax">'calculations'!$B$67</definedName>
    <definedName name="KCT">'calculations'!$B$53</definedName>
    <definedName name="KCTmax">'calculations'!$D$67</definedName>
    <definedName name="pd_11">'calculations'!$H$22</definedName>
    <definedName name="pd_12">'calculations'!$I$22</definedName>
    <definedName name="pd_21">'calculations'!$H$23</definedName>
    <definedName name="pd_22">'calculations'!$I$23</definedName>
    <definedName name="pm_11">'calculations'!$C$22</definedName>
    <definedName name="pm_12">'calculations'!$D$22</definedName>
    <definedName name="pm_21">'calculations'!$C$23</definedName>
    <definedName name="pm_22">'calculations'!$D$23</definedName>
    <definedName name="Tcmax">'calculations'!$H$7</definedName>
    <definedName name="Tcmin">'calculations'!$E$7</definedName>
    <definedName name="Tcr">'calculations'!$B$7</definedName>
    <definedName name="temFsp">'calculations'!$B$59</definedName>
    <definedName name="temTc">'calculations'!$B$62</definedName>
    <definedName name="temTh">'calculations'!$B$61</definedName>
    <definedName name="temTsp">'calculations'!$B$60</definedName>
    <definedName name="Thmax">'calculations'!$H$5</definedName>
    <definedName name="Thmin">'calculations'!$E$5</definedName>
    <definedName name="Thr">'calculations'!$B$5</definedName>
    <definedName name="Tmax">'calculations'!$H$9</definedName>
    <definedName name="Tmin">'calculations'!$E$9</definedName>
    <definedName name="Tr">'calculations'!$B$9</definedName>
  </definedNames>
  <calcPr fullCalcOnLoad="1"/>
</workbook>
</file>

<file path=xl/comments2.xml><?xml version="1.0" encoding="utf-8"?>
<comments xmlns="http://schemas.openxmlformats.org/spreadsheetml/2006/main">
  <authors>
    <author>-</author>
  </authors>
  <commentList>
    <comment ref="S3" authorId="0">
      <text>
        <r>
          <rPr>
            <b/>
            <sz val="8"/>
            <rFont val="Tahoma"/>
            <family val="0"/>
          </rPr>
          <t>calculated simply by transforming the physical variable result.</t>
        </r>
      </text>
    </comment>
    <comment ref="U3" authorId="0">
      <text>
        <r>
          <rPr>
            <b/>
            <sz val="8"/>
            <rFont val="Tahoma"/>
            <family val="0"/>
          </rPr>
          <t>calculated from the transformed hot flow variable, via the energy balance.  Because the energy balance relates T and Fh, it also relates T*' and Fh*'.</t>
        </r>
      </text>
    </comment>
  </commentList>
</comments>
</file>

<file path=xl/sharedStrings.xml><?xml version="1.0" encoding="utf-8"?>
<sst xmlns="http://schemas.openxmlformats.org/spreadsheetml/2006/main" count="221" uniqueCount="153">
  <si>
    <t>Controllability analysis of shower process</t>
  </si>
  <si>
    <t>Fhr</t>
  </si>
  <si>
    <t>Thr</t>
  </si>
  <si>
    <t>lpm</t>
  </si>
  <si>
    <t>C</t>
  </si>
  <si>
    <t>input reference values</t>
  </si>
  <si>
    <t>Fhmin</t>
  </si>
  <si>
    <t>Thmin</t>
  </si>
  <si>
    <t>Fcmin</t>
  </si>
  <si>
    <t>Tcmin</t>
  </si>
  <si>
    <t>input min values</t>
  </si>
  <si>
    <t>input max values</t>
  </si>
  <si>
    <t>Fhmax</t>
  </si>
  <si>
    <t>Thmax</t>
  </si>
  <si>
    <t>Fcmax</t>
  </si>
  <si>
    <t>Tcmax</t>
  </si>
  <si>
    <t>Fmin</t>
  </si>
  <si>
    <t>Tmin</t>
  </si>
  <si>
    <t>Fmax</t>
  </si>
  <si>
    <t>Tmax</t>
  </si>
  <si>
    <t>Fr</t>
  </si>
  <si>
    <t>Tr</t>
  </si>
  <si>
    <t>F</t>
  </si>
  <si>
    <t>T</t>
  </si>
  <si>
    <t>range</t>
  </si>
  <si>
    <t>delFh</t>
  </si>
  <si>
    <t>delTh</t>
  </si>
  <si>
    <t>delFc</t>
  </si>
  <si>
    <t>delTc</t>
  </si>
  <si>
    <t>delF</t>
  </si>
  <si>
    <t>delT</t>
  </si>
  <si>
    <t>linear system approximation</t>
  </si>
  <si>
    <t>=</t>
  </si>
  <si>
    <t>Fcr</t>
  </si>
  <si>
    <t>Tcr</t>
  </si>
  <si>
    <t>*</t>
  </si>
  <si>
    <t>Fh</t>
  </si>
  <si>
    <t>+</t>
  </si>
  <si>
    <t>Th</t>
  </si>
  <si>
    <t>Tc</t>
  </si>
  <si>
    <t>relative gain array</t>
  </si>
  <si>
    <t>disturbance cost</t>
  </si>
  <si>
    <t>angle</t>
  </si>
  <si>
    <t>DC</t>
  </si>
  <si>
    <t>simulation</t>
  </si>
  <si>
    <t>hot flow</t>
  </si>
  <si>
    <t>T full</t>
  </si>
  <si>
    <t>T linear</t>
  </si>
  <si>
    <t xml:space="preserve">Comparison of full and linearized energy balance </t>
  </si>
  <si>
    <t>physical variables</t>
  </si>
  <si>
    <t>scaled deviation variables</t>
  </si>
  <si>
    <t>denom</t>
  </si>
  <si>
    <t>(Fh - F and Fc - T pairing)</t>
  </si>
  <si>
    <t>flo Fsp</t>
  </si>
  <si>
    <t>floTsp</t>
  </si>
  <si>
    <t>flo Th</t>
  </si>
  <si>
    <t>flo Tc</t>
  </si>
  <si>
    <t>tem Fsp</t>
  </si>
  <si>
    <t>tem Tsp</t>
  </si>
  <si>
    <t>tem Th</t>
  </si>
  <si>
    <t>Fsp</t>
  </si>
  <si>
    <t>Tsp</t>
  </si>
  <si>
    <t>Fsp*'</t>
  </si>
  <si>
    <t>Tsp*'</t>
  </si>
  <si>
    <t>Th*'</t>
  </si>
  <si>
    <t>Tc*'</t>
  </si>
  <si>
    <t>F*'</t>
  </si>
  <si>
    <t>T*'</t>
  </si>
  <si>
    <t>Fh*'</t>
  </si>
  <si>
    <t>Fc*'</t>
  </si>
  <si>
    <t>KCF*</t>
  </si>
  <si>
    <t>KCT*</t>
  </si>
  <si>
    <t>comparison of energy balance for variation of hot flow</t>
  </si>
  <si>
    <t>Similarly, equal positive disturbances have a direction angle of 45 deg.</t>
  </si>
  <si>
    <t>Disturbances Th*' and Tc*' are arranged so that one</t>
  </si>
  <si>
    <t>of them is always at maximum or minimum value</t>
  </si>
  <si>
    <t>while the other varies from min to max.</t>
  </si>
  <si>
    <t>Thus they outline a rectangle on Tc*' vs. Th*' coordinates.</t>
  </si>
  <si>
    <t xml:space="preserve">The direction angle is computed for the vector from the </t>
  </si>
  <si>
    <t>origin to each of these points.</t>
  </si>
  <si>
    <t>reference</t>
  </si>
  <si>
    <t>minimum</t>
  </si>
  <si>
    <t>maximum</t>
  </si>
  <si>
    <t>MV limits for plots</t>
  </si>
  <si>
    <t>Fh*' min</t>
  </si>
  <si>
    <t>Fh*' max</t>
  </si>
  <si>
    <t>Fc*' min</t>
  </si>
  <si>
    <t>Fc*' max</t>
  </si>
  <si>
    <t xml:space="preserve">The Disturbance Cost, and the corresponding MV variables </t>
  </si>
  <si>
    <t>(scaled deviation) versus the direction angle of the disturbances</t>
  </si>
  <si>
    <t xml:space="preserve">The angle is based on abscissa Th and ordinate Tc, so that </t>
  </si>
  <si>
    <t>positive Th disturbance and zero Tc disturbance have an angle of zero.</t>
  </si>
  <si>
    <t>The MV limits are plotted to show when the DC has called</t>
  </si>
  <si>
    <t>for unrealistic MV movements.</t>
  </si>
  <si>
    <t>check</t>
  </si>
  <si>
    <t>should be zero</t>
  </si>
  <si>
    <t>out of limits on MV</t>
  </si>
  <si>
    <t>KCF must be +; KCT must be -</t>
  </si>
  <si>
    <t>Tfull</t>
  </si>
  <si>
    <t>range simulation</t>
  </si>
  <si>
    <t>tem Tc</t>
  </si>
  <si>
    <t>computation of flow F*'</t>
  </si>
  <si>
    <t>computation of temperature T*'</t>
  </si>
  <si>
    <t>extract a row from flow table</t>
  </si>
  <si>
    <t>extract a row from temperature table</t>
  </si>
  <si>
    <t>The plot shows the variation of the flow and temperature</t>
  </si>
  <si>
    <t>The response variables are plotted versus the gain of the</t>
  </si>
  <si>
    <t>temperature controller, so that the leftmost point shows</t>
  </si>
  <si>
    <t>the open-loop response.</t>
  </si>
  <si>
    <r>
      <t>K</t>
    </r>
    <r>
      <rPr>
        <vertAlign val="subscript"/>
        <sz val="10"/>
        <rFont val="Arial"/>
        <family val="2"/>
      </rPr>
      <t>CF</t>
    </r>
    <r>
      <rPr>
        <vertAlign val="superscript"/>
        <sz val="10"/>
        <rFont val="Arial"/>
        <family val="2"/>
      </rPr>
      <t>*</t>
    </r>
  </si>
  <si>
    <t>(in scaled deviation form) for set point and disturbance steps.</t>
  </si>
  <si>
    <t>flow</t>
  </si>
  <si>
    <t>temperature</t>
  </si>
  <si>
    <t>hot temperature</t>
  </si>
  <si>
    <t>cold temperature</t>
  </si>
  <si>
    <t xml:space="preserve">(Because all changes are presumed to be instantaneous, each point represents the steady-state </t>
  </si>
  <si>
    <t>result of the step inputs.  Therefore this plot DOES NOT represent a time trace, but rather shows</t>
  </si>
  <si>
    <t>the effect of controller gain on the responses.)</t>
  </si>
  <si>
    <t>The set point changes driving this response are:</t>
  </si>
  <si>
    <t>The disturbances driving this response are</t>
  </si>
  <si>
    <t>The RGA element describing this pairing is:</t>
  </si>
  <si>
    <t>RGA11</t>
  </si>
  <si>
    <t>Analysis of a simple shower:</t>
  </si>
  <si>
    <t>hot and cold inlet streams are mixed to form an outlet flow at intermediate temperature.</t>
  </si>
  <si>
    <t>It is proposed to control the outlet flow and temperature by manipulating</t>
  </si>
  <si>
    <t>as disturbances.</t>
  </si>
  <si>
    <t>Thus CV = F, T</t>
  </si>
  <si>
    <t>MV = Fh, Fc</t>
  </si>
  <si>
    <t>DV = Th, Tc</t>
  </si>
  <si>
    <t xml:space="preserve">the flow rates of the two feed streams.  The inlet temperatures are regarded </t>
  </si>
  <si>
    <t>The variables are paired so that F is controlled by Fh and T by Fc.  Because most</t>
  </si>
  <si>
    <t>showers will have more hot than cold water, this is probably the appropriate pairing.</t>
  </si>
  <si>
    <t>The worksheet contains</t>
  </si>
  <si>
    <t>(1) comparison of nonlinear with linearized energy balance</t>
  </si>
  <si>
    <t>(2) expression of physical variables in scaled deviation form</t>
  </si>
  <si>
    <t>(3) computation of the Relative Gain Array</t>
  </si>
  <si>
    <t>(4) computation of the Disturbance Cost as a function of disturbance</t>
  </si>
  <si>
    <t>helps to find a realistic size for the MV.</t>
  </si>
  <si>
    <t>(5) simulation of closed loop, assuming Proportional controllers</t>
  </si>
  <si>
    <t>This work was done for 10.492, Fall 2004</t>
  </si>
  <si>
    <t>A single point is computed.</t>
  </si>
  <si>
    <t xml:space="preserve">See below for results over a </t>
  </si>
  <si>
    <t>domain of controller gain.</t>
  </si>
  <si>
    <t>To change conditions, return to the "calculations" sheet</t>
  </si>
  <si>
    <t>good or bad for the F - Fh and T - Fc variable pairing that was used.</t>
  </si>
  <si>
    <t>Provisions are made to catch MV that exceed the limits, so that the DC</t>
  </si>
  <si>
    <t xml:space="preserve">To vary the gain of the flow controller, select an option </t>
  </si>
  <si>
    <t>from 1 to 11.</t>
  </si>
  <si>
    <t>Fc</t>
  </si>
  <si>
    <t>By adjusting the reference conditions for the shower, the RGA can be made either</t>
  </si>
  <si>
    <t>This allows the effects of controller tuning to be explored.</t>
  </si>
  <si>
    <t>Dr. Barry S. Johnston, Copyright 2004.</t>
  </si>
  <si>
    <t>Dr. Barry, S. Johnston, Copyright 2004.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</si>
</sst>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5"/>
      <name val="Arial"/>
      <family val="0"/>
    </font>
    <font>
      <sz val="8.5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v>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calculations!$B$33:$B$49</c:f>
              <c:numCache>
                <c:ptCount val="17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</c:v>
                </c:pt>
                <c:pt idx="5">
                  <c:v>-0.4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-0.8</c:v>
                </c:pt>
                <c:pt idx="11">
                  <c:v>-0.4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</c:numCache>
            </c:numRef>
          </c:xVal>
          <c:yVal>
            <c:numRef>
              <c:f>calculations!$C$33:$C$49</c:f>
              <c:numCache>
                <c:ptCount val="17"/>
                <c:pt idx="0">
                  <c:v>0</c:v>
                </c:pt>
                <c:pt idx="1">
                  <c:v>0.26666666666666666</c:v>
                </c:pt>
                <c:pt idx="2">
                  <c:v>0.5333333333333333</c:v>
                </c:pt>
                <c:pt idx="3">
                  <c:v>0.5333333333333333</c:v>
                </c:pt>
                <c:pt idx="4">
                  <c:v>0.5333333333333333</c:v>
                </c:pt>
                <c:pt idx="5">
                  <c:v>0.5333333333333333</c:v>
                </c:pt>
                <c:pt idx="6">
                  <c:v>0.5333333333333333</c:v>
                </c:pt>
                <c:pt idx="7">
                  <c:v>0.26666666666666666</c:v>
                </c:pt>
                <c:pt idx="8">
                  <c:v>0</c:v>
                </c:pt>
                <c:pt idx="9">
                  <c:v>-0.23333333333333334</c:v>
                </c:pt>
                <c:pt idx="10">
                  <c:v>-0.4666666666666667</c:v>
                </c:pt>
                <c:pt idx="11">
                  <c:v>-0.4666666666666667</c:v>
                </c:pt>
                <c:pt idx="12">
                  <c:v>-0.4666666666666667</c:v>
                </c:pt>
                <c:pt idx="13">
                  <c:v>-0.4666666666666667</c:v>
                </c:pt>
                <c:pt idx="14">
                  <c:v>-0.4666666666666667</c:v>
                </c:pt>
                <c:pt idx="15">
                  <c:v>-0.23333333333333334</c:v>
                </c:pt>
                <c:pt idx="16">
                  <c:v>0</c:v>
                </c:pt>
              </c:numCache>
            </c:numRef>
          </c:yVal>
          <c:smooth val="0"/>
        </c:ser>
        <c:axId val="63544733"/>
        <c:axId val="35031686"/>
      </c:scatterChart>
      <c:valAx>
        <c:axId val="6354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Th*'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031686"/>
        <c:crosses val="autoZero"/>
        <c:crossBetween val="midCat"/>
        <c:dispUnits/>
      </c:valAx>
      <c:valAx>
        <c:axId val="3503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Tc*'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544733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nonlinear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calculations!$O$4:$O$24</c:f>
              <c:numCache>
                <c:ptCount val="21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1.7999999999999998</c:v>
                </c:pt>
                <c:pt idx="4">
                  <c:v>2.4</c:v>
                </c:pt>
                <c:pt idx="5">
                  <c:v>3</c:v>
                </c:pt>
                <c:pt idx="6">
                  <c:v>3.6</c:v>
                </c:pt>
                <c:pt idx="7">
                  <c:v>4.2</c:v>
                </c:pt>
                <c:pt idx="8">
                  <c:v>4.8</c:v>
                </c:pt>
                <c:pt idx="9">
                  <c:v>5.3999999999999995</c:v>
                </c:pt>
                <c:pt idx="10">
                  <c:v>5.999999999999999</c:v>
                </c:pt>
                <c:pt idx="11">
                  <c:v>6.599999999999999</c:v>
                </c:pt>
                <c:pt idx="12">
                  <c:v>7.199999999999998</c:v>
                </c:pt>
                <c:pt idx="13">
                  <c:v>7.799999999999998</c:v>
                </c:pt>
                <c:pt idx="14">
                  <c:v>8.399999999999999</c:v>
                </c:pt>
                <c:pt idx="15">
                  <c:v>8.999999999999998</c:v>
                </c:pt>
                <c:pt idx="16">
                  <c:v>9.599999999999998</c:v>
                </c:pt>
                <c:pt idx="17">
                  <c:v>10.199999999999998</c:v>
                </c:pt>
                <c:pt idx="18">
                  <c:v>10.799999999999997</c:v>
                </c:pt>
                <c:pt idx="19">
                  <c:v>11.399999999999997</c:v>
                </c:pt>
                <c:pt idx="20">
                  <c:v>11.999999999999996</c:v>
                </c:pt>
              </c:numCache>
            </c:numRef>
          </c:xVal>
          <c:yVal>
            <c:numRef>
              <c:f>calculations!$P$4:$P$24</c:f>
              <c:numCache>
                <c:ptCount val="21"/>
                <c:pt idx="0">
                  <c:v>17</c:v>
                </c:pt>
                <c:pt idx="1">
                  <c:v>23.23076923076923</c:v>
                </c:pt>
                <c:pt idx="2">
                  <c:v>27.124999999999996</c:v>
                </c:pt>
                <c:pt idx="3">
                  <c:v>29.789473684210524</c:v>
                </c:pt>
                <c:pt idx="4">
                  <c:v>31.727272727272723</c:v>
                </c:pt>
                <c:pt idx="5">
                  <c:v>33.2</c:v>
                </c:pt>
                <c:pt idx="6">
                  <c:v>34.35714285714286</c:v>
                </c:pt>
                <c:pt idx="7">
                  <c:v>35.29032258064516</c:v>
                </c:pt>
                <c:pt idx="8">
                  <c:v>36.05882352941176</c:v>
                </c:pt>
                <c:pt idx="9">
                  <c:v>36.7027027027027</c:v>
                </c:pt>
                <c:pt idx="10">
                  <c:v>37.25</c:v>
                </c:pt>
                <c:pt idx="11">
                  <c:v>37.72093023255814</c:v>
                </c:pt>
                <c:pt idx="12">
                  <c:v>38.130434782608695</c:v>
                </c:pt>
                <c:pt idx="13">
                  <c:v>38.48979591836735</c:v>
                </c:pt>
                <c:pt idx="14">
                  <c:v>38.80769230769231</c:v>
                </c:pt>
                <c:pt idx="15">
                  <c:v>39.09090909090909</c:v>
                </c:pt>
                <c:pt idx="16">
                  <c:v>39.3448275862069</c:v>
                </c:pt>
                <c:pt idx="17">
                  <c:v>39.57377049180328</c:v>
                </c:pt>
                <c:pt idx="18">
                  <c:v>39.78125</c:v>
                </c:pt>
                <c:pt idx="19">
                  <c:v>39.97014925373134</c:v>
                </c:pt>
                <c:pt idx="20">
                  <c:v>40.142857142857146</c:v>
                </c:pt>
              </c:numCache>
            </c:numRef>
          </c:yVal>
          <c:smooth val="0"/>
        </c:ser>
        <c:ser>
          <c:idx val="1"/>
          <c:order val="1"/>
          <c:tx>
            <c:v>linearized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calculations!$O$4:$O$24</c:f>
              <c:numCache>
                <c:ptCount val="21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1.7999999999999998</c:v>
                </c:pt>
                <c:pt idx="4">
                  <c:v>2.4</c:v>
                </c:pt>
                <c:pt idx="5">
                  <c:v>3</c:v>
                </c:pt>
                <c:pt idx="6">
                  <c:v>3.6</c:v>
                </c:pt>
                <c:pt idx="7">
                  <c:v>4.2</c:v>
                </c:pt>
                <c:pt idx="8">
                  <c:v>4.8</c:v>
                </c:pt>
                <c:pt idx="9">
                  <c:v>5.3999999999999995</c:v>
                </c:pt>
                <c:pt idx="10">
                  <c:v>5.999999999999999</c:v>
                </c:pt>
                <c:pt idx="11">
                  <c:v>6.599999999999999</c:v>
                </c:pt>
                <c:pt idx="12">
                  <c:v>7.199999999999998</c:v>
                </c:pt>
                <c:pt idx="13">
                  <c:v>7.799999999999998</c:v>
                </c:pt>
                <c:pt idx="14">
                  <c:v>8.399999999999999</c:v>
                </c:pt>
                <c:pt idx="15">
                  <c:v>8.999999999999998</c:v>
                </c:pt>
                <c:pt idx="16">
                  <c:v>9.599999999999998</c:v>
                </c:pt>
                <c:pt idx="17">
                  <c:v>10.199999999999998</c:v>
                </c:pt>
                <c:pt idx="18">
                  <c:v>10.799999999999997</c:v>
                </c:pt>
                <c:pt idx="19">
                  <c:v>11.399999999999997</c:v>
                </c:pt>
                <c:pt idx="20">
                  <c:v>11.999999999999996</c:v>
                </c:pt>
              </c:numCache>
            </c:numRef>
          </c:xVal>
          <c:yVal>
            <c:numRef>
              <c:f>calculations!$Q$4:$Q$24</c:f>
              <c:numCache>
                <c:ptCount val="21"/>
                <c:pt idx="0">
                  <c:v>33.33333333333333</c:v>
                </c:pt>
                <c:pt idx="1">
                  <c:v>33.733333333333334</c:v>
                </c:pt>
                <c:pt idx="2">
                  <c:v>34.13333333333333</c:v>
                </c:pt>
                <c:pt idx="3">
                  <c:v>34.53333333333333</c:v>
                </c:pt>
                <c:pt idx="4">
                  <c:v>34.93333333333333</c:v>
                </c:pt>
                <c:pt idx="5">
                  <c:v>35.33333333333333</c:v>
                </c:pt>
                <c:pt idx="6">
                  <c:v>35.733333333333334</c:v>
                </c:pt>
                <c:pt idx="7">
                  <c:v>36.13333333333333</c:v>
                </c:pt>
                <c:pt idx="8">
                  <c:v>36.53333333333333</c:v>
                </c:pt>
                <c:pt idx="9">
                  <c:v>36.93333333333333</c:v>
                </c:pt>
                <c:pt idx="10">
                  <c:v>37.333333333333336</c:v>
                </c:pt>
                <c:pt idx="11">
                  <c:v>37.733333333333334</c:v>
                </c:pt>
                <c:pt idx="12">
                  <c:v>38.13333333333333</c:v>
                </c:pt>
                <c:pt idx="13">
                  <c:v>38.53333333333333</c:v>
                </c:pt>
                <c:pt idx="14">
                  <c:v>38.93333333333333</c:v>
                </c:pt>
                <c:pt idx="15">
                  <c:v>39.333333333333336</c:v>
                </c:pt>
                <c:pt idx="16">
                  <c:v>39.733333333333334</c:v>
                </c:pt>
                <c:pt idx="17">
                  <c:v>40.13333333333333</c:v>
                </c:pt>
                <c:pt idx="18">
                  <c:v>40.53333333333333</c:v>
                </c:pt>
                <c:pt idx="19">
                  <c:v>40.93333333333333</c:v>
                </c:pt>
                <c:pt idx="20">
                  <c:v>41.333333333333336</c:v>
                </c:pt>
              </c:numCache>
            </c:numRef>
          </c:yVal>
          <c:smooth val="0"/>
        </c:ser>
        <c:axId val="46849719"/>
        <c:axId val="18994288"/>
      </c:scatterChart>
      <c:valAx>
        <c:axId val="4684971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hot flow (Lpm)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994288"/>
        <c:crosses val="autoZero"/>
        <c:crossBetween val="midCat"/>
        <c:dispUnits/>
      </c:valAx>
      <c:valAx>
        <c:axId val="18994288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outlet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84971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nonlinear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calculations!$R$4:$R$24</c:f>
              <c:numCache>
                <c:ptCount val="21"/>
                <c:pt idx="0">
                  <c:v>-0.5833333333333334</c:v>
                </c:pt>
                <c:pt idx="1">
                  <c:v>-0.5333333333333333</c:v>
                </c:pt>
                <c:pt idx="2">
                  <c:v>-0.48333333333333334</c:v>
                </c:pt>
                <c:pt idx="3">
                  <c:v>-0.43333333333333335</c:v>
                </c:pt>
                <c:pt idx="4">
                  <c:v>-0.3833333333333333</c:v>
                </c:pt>
                <c:pt idx="5">
                  <c:v>-0.3333333333333333</c:v>
                </c:pt>
                <c:pt idx="6">
                  <c:v>-0.2833333333333333</c:v>
                </c:pt>
                <c:pt idx="7">
                  <c:v>-0.2333333333333333</c:v>
                </c:pt>
                <c:pt idx="8">
                  <c:v>-0.18333333333333335</c:v>
                </c:pt>
                <c:pt idx="9">
                  <c:v>-0.1333333333333334</c:v>
                </c:pt>
                <c:pt idx="10">
                  <c:v>-0.08333333333333341</c:v>
                </c:pt>
                <c:pt idx="11">
                  <c:v>-0.03333333333333344</c:v>
                </c:pt>
                <c:pt idx="12">
                  <c:v>0.016666666666666535</c:v>
                </c:pt>
                <c:pt idx="13">
                  <c:v>0.0666666666666665</c:v>
                </c:pt>
                <c:pt idx="14">
                  <c:v>0.11666666666666654</c:v>
                </c:pt>
                <c:pt idx="15">
                  <c:v>0.16666666666666652</c:v>
                </c:pt>
                <c:pt idx="16">
                  <c:v>0.21666666666666648</c:v>
                </c:pt>
                <c:pt idx="17">
                  <c:v>0.26666666666666644</c:v>
                </c:pt>
                <c:pt idx="18">
                  <c:v>0.31666666666666643</c:v>
                </c:pt>
                <c:pt idx="19">
                  <c:v>0.3666666666666664</c:v>
                </c:pt>
                <c:pt idx="20">
                  <c:v>0.41666666666666635</c:v>
                </c:pt>
              </c:numCache>
            </c:numRef>
          </c:xVal>
          <c:yVal>
            <c:numRef>
              <c:f>calculations!$S$4:$S$24</c:f>
              <c:numCache>
                <c:ptCount val="21"/>
                <c:pt idx="0">
                  <c:v>-0.84</c:v>
                </c:pt>
                <c:pt idx="1">
                  <c:v>-0.5907692307692308</c:v>
                </c:pt>
                <c:pt idx="2">
                  <c:v>-0.43500000000000016</c:v>
                </c:pt>
                <c:pt idx="3">
                  <c:v>-0.32842105263157906</c:v>
                </c:pt>
                <c:pt idx="4">
                  <c:v>-0.2509090909090911</c:v>
                </c:pt>
                <c:pt idx="5">
                  <c:v>-0.1919999999999999</c:v>
                </c:pt>
                <c:pt idx="6">
                  <c:v>-0.14571428571428555</c:v>
                </c:pt>
                <c:pt idx="7">
                  <c:v>-0.1083870967741936</c:v>
                </c:pt>
                <c:pt idx="8">
                  <c:v>-0.07764705882352957</c:v>
                </c:pt>
                <c:pt idx="9">
                  <c:v>-0.05189189189189193</c:v>
                </c:pt>
                <c:pt idx="10">
                  <c:v>-0.03</c:v>
                </c:pt>
                <c:pt idx="11">
                  <c:v>-0.011162790697674438</c:v>
                </c:pt>
                <c:pt idx="12">
                  <c:v>0.0052173913043478135</c:v>
                </c:pt>
                <c:pt idx="13">
                  <c:v>0.01959183673469397</c:v>
                </c:pt>
                <c:pt idx="14">
                  <c:v>0.032307692307692266</c:v>
                </c:pt>
                <c:pt idx="15">
                  <c:v>0.04363636363636374</c:v>
                </c:pt>
                <c:pt idx="16">
                  <c:v>0.05379310344827587</c:v>
                </c:pt>
                <c:pt idx="17">
                  <c:v>0.06295081967213122</c:v>
                </c:pt>
                <c:pt idx="18">
                  <c:v>0.07125</c:v>
                </c:pt>
                <c:pt idx="19">
                  <c:v>0.07880597014925371</c:v>
                </c:pt>
                <c:pt idx="20">
                  <c:v>0.08571428571428584</c:v>
                </c:pt>
              </c:numCache>
            </c:numRef>
          </c:yVal>
          <c:smooth val="0"/>
        </c:ser>
        <c:ser>
          <c:idx val="1"/>
          <c:order val="1"/>
          <c:tx>
            <c:v>linearized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calculations!$R$4:$R$24</c:f>
              <c:numCache>
                <c:ptCount val="21"/>
                <c:pt idx="0">
                  <c:v>-0.5833333333333334</c:v>
                </c:pt>
                <c:pt idx="1">
                  <c:v>-0.5333333333333333</c:v>
                </c:pt>
                <c:pt idx="2">
                  <c:v>-0.48333333333333334</c:v>
                </c:pt>
                <c:pt idx="3">
                  <c:v>-0.43333333333333335</c:v>
                </c:pt>
                <c:pt idx="4">
                  <c:v>-0.3833333333333333</c:v>
                </c:pt>
                <c:pt idx="5">
                  <c:v>-0.3333333333333333</c:v>
                </c:pt>
                <c:pt idx="6">
                  <c:v>-0.2833333333333333</c:v>
                </c:pt>
                <c:pt idx="7">
                  <c:v>-0.2333333333333333</c:v>
                </c:pt>
                <c:pt idx="8">
                  <c:v>-0.18333333333333335</c:v>
                </c:pt>
                <c:pt idx="9">
                  <c:v>-0.1333333333333334</c:v>
                </c:pt>
                <c:pt idx="10">
                  <c:v>-0.08333333333333341</c:v>
                </c:pt>
                <c:pt idx="11">
                  <c:v>-0.03333333333333344</c:v>
                </c:pt>
                <c:pt idx="12">
                  <c:v>0.016666666666666535</c:v>
                </c:pt>
                <c:pt idx="13">
                  <c:v>0.0666666666666665</c:v>
                </c:pt>
                <c:pt idx="14">
                  <c:v>0.11666666666666654</c:v>
                </c:pt>
                <c:pt idx="15">
                  <c:v>0.16666666666666652</c:v>
                </c:pt>
                <c:pt idx="16">
                  <c:v>0.21666666666666648</c:v>
                </c:pt>
                <c:pt idx="17">
                  <c:v>0.26666666666666644</c:v>
                </c:pt>
                <c:pt idx="18">
                  <c:v>0.31666666666666643</c:v>
                </c:pt>
                <c:pt idx="19">
                  <c:v>0.3666666666666664</c:v>
                </c:pt>
                <c:pt idx="20">
                  <c:v>0.41666666666666635</c:v>
                </c:pt>
              </c:numCache>
            </c:numRef>
          </c:xVal>
          <c:yVal>
            <c:numRef>
              <c:f>calculations!$T$4:$T$24</c:f>
              <c:numCache>
                <c:ptCount val="21"/>
                <c:pt idx="0">
                  <c:v>-0.18666666666666687</c:v>
                </c:pt>
                <c:pt idx="1">
                  <c:v>-0.17066666666666663</c:v>
                </c:pt>
                <c:pt idx="2">
                  <c:v>-0.15466666666666667</c:v>
                </c:pt>
                <c:pt idx="3">
                  <c:v>-0.13866666666666674</c:v>
                </c:pt>
                <c:pt idx="4">
                  <c:v>-0.1226666666666668</c:v>
                </c:pt>
                <c:pt idx="5">
                  <c:v>-0.10666666666666685</c:v>
                </c:pt>
                <c:pt idx="6">
                  <c:v>-0.09066666666666663</c:v>
                </c:pt>
                <c:pt idx="7">
                  <c:v>-0.07466666666666669</c:v>
                </c:pt>
                <c:pt idx="8">
                  <c:v>-0.05866666666666674</c:v>
                </c:pt>
                <c:pt idx="9">
                  <c:v>-0.0426666666666668</c:v>
                </c:pt>
                <c:pt idx="10">
                  <c:v>-0.02666666666666657</c:v>
                </c:pt>
                <c:pt idx="11">
                  <c:v>-0.010666666666666628</c:v>
                </c:pt>
                <c:pt idx="12">
                  <c:v>0.005333333333333314</c:v>
                </c:pt>
                <c:pt idx="13">
                  <c:v>0.021333333333333256</c:v>
                </c:pt>
                <c:pt idx="14">
                  <c:v>0.0373333333333332</c:v>
                </c:pt>
                <c:pt idx="15">
                  <c:v>0.05333333333333343</c:v>
                </c:pt>
                <c:pt idx="16">
                  <c:v>0.06933333333333337</c:v>
                </c:pt>
                <c:pt idx="17">
                  <c:v>0.08533333333333332</c:v>
                </c:pt>
                <c:pt idx="18">
                  <c:v>0.10133333333333326</c:v>
                </c:pt>
                <c:pt idx="19">
                  <c:v>0.1173333333333332</c:v>
                </c:pt>
                <c:pt idx="20">
                  <c:v>0.13333333333333341</c:v>
                </c:pt>
              </c:numCache>
            </c:numRef>
          </c:yVal>
          <c:smooth val="0"/>
        </c:ser>
        <c:axId val="36730865"/>
        <c:axId val="62142330"/>
      </c:scatterChart>
      <c:valAx>
        <c:axId val="3673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hot flow (scaled deviation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142330"/>
        <c:crosses val="autoZero"/>
        <c:crossBetween val="midCat"/>
        <c:dispUnits/>
      </c:valAx>
      <c:valAx>
        <c:axId val="62142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outlet temp (scaled deviation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730865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v>DC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calculations!$A$33:$A$49</c:f>
              <c:numCache>
                <c:ptCount val="17"/>
                <c:pt idx="0">
                  <c:v>0</c:v>
                </c:pt>
                <c:pt idx="1">
                  <c:v>53.13010235415598</c:v>
                </c:pt>
                <c:pt idx="2">
                  <c:v>69.44395478041653</c:v>
                </c:pt>
                <c:pt idx="3">
                  <c:v>79.38034472384487</c:v>
                </c:pt>
                <c:pt idx="4">
                  <c:v>90</c:v>
                </c:pt>
                <c:pt idx="5">
                  <c:v>126.86989764584402</c:v>
                </c:pt>
                <c:pt idx="6">
                  <c:v>146.3099324740202</c:v>
                </c:pt>
                <c:pt idx="7">
                  <c:v>161.56505117707798</c:v>
                </c:pt>
                <c:pt idx="8">
                  <c:v>180</c:v>
                </c:pt>
                <c:pt idx="9">
                  <c:v>196.260204708312</c:v>
                </c:pt>
                <c:pt idx="10">
                  <c:v>210.25643716352926</c:v>
                </c:pt>
                <c:pt idx="11">
                  <c:v>229.3987053549955</c:v>
                </c:pt>
                <c:pt idx="12">
                  <c:v>270</c:v>
                </c:pt>
                <c:pt idx="13">
                  <c:v>282.0947570770121</c:v>
                </c:pt>
                <c:pt idx="14">
                  <c:v>293.1985905136482</c:v>
                </c:pt>
                <c:pt idx="15">
                  <c:v>310.6012946450045</c:v>
                </c:pt>
                <c:pt idx="16">
                  <c:v>360</c:v>
                </c:pt>
              </c:numCache>
            </c:numRef>
          </c:xVal>
          <c:yVal>
            <c:numRef>
              <c:f>calculations!$D$33:$D$49</c:f>
              <c:numCache>
                <c:ptCount val="17"/>
                <c:pt idx="0">
                  <c:v>0.048310110624995455</c:v>
                </c:pt>
                <c:pt idx="1">
                  <c:v>0.10352166562499027</c:v>
                </c:pt>
                <c:pt idx="2">
                  <c:v>0.15873322062498507</c:v>
                </c:pt>
                <c:pt idx="3">
                  <c:v>0.13457816531248734</c:v>
                </c:pt>
                <c:pt idx="4">
                  <c:v>0.11042310999998961</c:v>
                </c:pt>
                <c:pt idx="5">
                  <c:v>0.013802888749998701</c:v>
                </c:pt>
                <c:pt idx="6">
                  <c:v>0.08281733249999222</c:v>
                </c:pt>
                <c:pt idx="7">
                  <c:v>0.138028887499987</c:v>
                </c:pt>
                <c:pt idx="8">
                  <c:v>0.19324044249998182</c:v>
                </c:pt>
                <c:pt idx="9">
                  <c:v>0.24155055312497728</c:v>
                </c:pt>
                <c:pt idx="10">
                  <c:v>0.28986066374997277</c:v>
                </c:pt>
                <c:pt idx="11">
                  <c:v>0.19324044249998182</c:v>
                </c:pt>
                <c:pt idx="12">
                  <c:v>0.09662022124999091</c:v>
                </c:pt>
                <c:pt idx="13">
                  <c:v>0.07246516593749319</c:v>
                </c:pt>
                <c:pt idx="14">
                  <c:v>0.048310110624995455</c:v>
                </c:pt>
                <c:pt idx="15">
                  <c:v>0</c:v>
                </c:pt>
                <c:pt idx="16">
                  <c:v>0.048310110624995455</c:v>
                </c:pt>
              </c:numCache>
            </c:numRef>
          </c:yVal>
          <c:smooth val="0"/>
        </c:ser>
        <c:axId val="22410059"/>
        <c:axId val="363940"/>
      </c:scatterChart>
      <c:valAx>
        <c:axId val="22410059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disturbance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3940"/>
        <c:crosses val="autoZero"/>
        <c:crossBetween val="midCat"/>
        <c:dispUnits/>
        <c:majorUnit val="45"/>
      </c:valAx>
      <c:valAx>
        <c:axId val="36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41005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v>hot limit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calculations!$S$33:$S$34</c:f>
              <c:numCache>
                <c:ptCount val="2"/>
                <c:pt idx="0">
                  <c:v>-0.5833333333333334</c:v>
                </c:pt>
                <c:pt idx="1">
                  <c:v>-0.5833333333333334</c:v>
                </c:pt>
              </c:numCache>
            </c:numRef>
          </c:yVal>
          <c:smooth val="0"/>
        </c:ser>
        <c:ser>
          <c:idx val="1"/>
          <c:order val="1"/>
          <c:tx>
            <c:v>hot flow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calculations!$A$33:$A$49</c:f>
              <c:numCache>
                <c:ptCount val="17"/>
                <c:pt idx="0">
                  <c:v>0</c:v>
                </c:pt>
                <c:pt idx="1">
                  <c:v>53.13010235415598</c:v>
                </c:pt>
                <c:pt idx="2">
                  <c:v>69.44395478041653</c:v>
                </c:pt>
                <c:pt idx="3">
                  <c:v>79.38034472384487</c:v>
                </c:pt>
                <c:pt idx="4">
                  <c:v>90</c:v>
                </c:pt>
                <c:pt idx="5">
                  <c:v>126.86989764584402</c:v>
                </c:pt>
                <c:pt idx="6">
                  <c:v>146.3099324740202</c:v>
                </c:pt>
                <c:pt idx="7">
                  <c:v>161.56505117707798</c:v>
                </c:pt>
                <c:pt idx="8">
                  <c:v>180</c:v>
                </c:pt>
                <c:pt idx="9">
                  <c:v>196.260204708312</c:v>
                </c:pt>
                <c:pt idx="10">
                  <c:v>210.25643716352926</c:v>
                </c:pt>
                <c:pt idx="11">
                  <c:v>229.3987053549955</c:v>
                </c:pt>
                <c:pt idx="12">
                  <c:v>270</c:v>
                </c:pt>
                <c:pt idx="13">
                  <c:v>282.0947570770121</c:v>
                </c:pt>
                <c:pt idx="14">
                  <c:v>293.1985905136482</c:v>
                </c:pt>
                <c:pt idx="15">
                  <c:v>310.6012946450045</c:v>
                </c:pt>
                <c:pt idx="16">
                  <c:v>360</c:v>
                </c:pt>
              </c:numCache>
            </c:numRef>
          </c:xVal>
          <c:yVal>
            <c:numRef>
              <c:f>calculations!$E$33:$E$49</c:f>
              <c:numCache>
                <c:ptCount val="17"/>
                <c:pt idx="0">
                  <c:v>-0.021604938271604937</c:v>
                </c:pt>
                <c:pt idx="1">
                  <c:v>-0.0462962962962963</c:v>
                </c:pt>
                <c:pt idx="2">
                  <c:v>-0.07098765432098765</c:v>
                </c:pt>
                <c:pt idx="3">
                  <c:v>-0.06018518518518518</c:v>
                </c:pt>
                <c:pt idx="4">
                  <c:v>-0.04938271604938271</c:v>
                </c:pt>
                <c:pt idx="5">
                  <c:v>-0.006172839506172839</c:v>
                </c:pt>
                <c:pt idx="6">
                  <c:v>0.037037037037037035</c:v>
                </c:pt>
                <c:pt idx="7">
                  <c:v>0.06172839506172839</c:v>
                </c:pt>
                <c:pt idx="8">
                  <c:v>0.08641975308641975</c:v>
                </c:pt>
                <c:pt idx="9">
                  <c:v>0.10802469135802469</c:v>
                </c:pt>
                <c:pt idx="10">
                  <c:v>0.12962962962962962</c:v>
                </c:pt>
                <c:pt idx="11">
                  <c:v>0.08641975308641975</c:v>
                </c:pt>
                <c:pt idx="12">
                  <c:v>0.043209876543209874</c:v>
                </c:pt>
                <c:pt idx="13">
                  <c:v>0.032407407407407406</c:v>
                </c:pt>
                <c:pt idx="14">
                  <c:v>0.021604938271604937</c:v>
                </c:pt>
                <c:pt idx="15">
                  <c:v>0</c:v>
                </c:pt>
                <c:pt idx="16">
                  <c:v>-0.021604938271604937</c:v>
                </c:pt>
              </c:numCache>
            </c:numRef>
          </c:yVal>
          <c:smooth val="0"/>
        </c:ser>
        <c:ser>
          <c:idx val="3"/>
          <c:order val="2"/>
          <c:tx>
            <c:v>hot limit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calculations!$T$33:$T$34</c:f>
              <c:numCache>
                <c:ptCount val="2"/>
                <c:pt idx="0">
                  <c:v>0.4166666666666667</c:v>
                </c:pt>
                <c:pt idx="1">
                  <c:v>0.4166666666666667</c:v>
                </c:pt>
              </c:numCache>
            </c:numRef>
          </c:yVal>
          <c:smooth val="0"/>
        </c:ser>
        <c:ser>
          <c:idx val="4"/>
          <c:order val="3"/>
          <c:tx>
            <c:v>cold limit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calculations!$U$33:$U$34</c:f>
              <c:numCache>
                <c:ptCount val="2"/>
                <c:pt idx="0">
                  <c:v>-0.3333333333333333</c:v>
                </c:pt>
                <c:pt idx="1">
                  <c:v>-0.3333333333333333</c:v>
                </c:pt>
              </c:numCache>
            </c:numRef>
          </c:yVal>
          <c:smooth val="0"/>
        </c:ser>
        <c:ser>
          <c:idx val="0"/>
          <c:order val="4"/>
          <c:tx>
            <c:v>cold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calculations!$A$33:$A$49</c:f>
              <c:numCache>
                <c:ptCount val="17"/>
                <c:pt idx="0">
                  <c:v>0</c:v>
                </c:pt>
                <c:pt idx="1">
                  <c:v>53.13010235415598</c:v>
                </c:pt>
                <c:pt idx="2">
                  <c:v>69.44395478041653</c:v>
                </c:pt>
                <c:pt idx="3">
                  <c:v>79.38034472384487</c:v>
                </c:pt>
                <c:pt idx="4">
                  <c:v>90</c:v>
                </c:pt>
                <c:pt idx="5">
                  <c:v>126.86989764584402</c:v>
                </c:pt>
                <c:pt idx="6">
                  <c:v>146.3099324740202</c:v>
                </c:pt>
                <c:pt idx="7">
                  <c:v>161.56505117707798</c:v>
                </c:pt>
                <c:pt idx="8">
                  <c:v>180</c:v>
                </c:pt>
                <c:pt idx="9">
                  <c:v>196.260204708312</c:v>
                </c:pt>
                <c:pt idx="10">
                  <c:v>210.25643716352926</c:v>
                </c:pt>
                <c:pt idx="11">
                  <c:v>229.3987053549955</c:v>
                </c:pt>
                <c:pt idx="12">
                  <c:v>270</c:v>
                </c:pt>
                <c:pt idx="13">
                  <c:v>282.0947570770121</c:v>
                </c:pt>
                <c:pt idx="14">
                  <c:v>293.1985905136482</c:v>
                </c:pt>
                <c:pt idx="15">
                  <c:v>310.6012946450045</c:v>
                </c:pt>
                <c:pt idx="16">
                  <c:v>360</c:v>
                </c:pt>
              </c:numCache>
            </c:numRef>
          </c:xVal>
          <c:yVal>
            <c:numRef>
              <c:f>calculations!$F$33:$F$49</c:f>
              <c:numCache>
                <c:ptCount val="17"/>
                <c:pt idx="0">
                  <c:v>0.043209876543209874</c:v>
                </c:pt>
                <c:pt idx="1">
                  <c:v>0.0925925925925926</c:v>
                </c:pt>
                <c:pt idx="2">
                  <c:v>0.1419753086419753</c:v>
                </c:pt>
                <c:pt idx="3">
                  <c:v>0.12037037037037036</c:v>
                </c:pt>
                <c:pt idx="4">
                  <c:v>0.09876543209876543</c:v>
                </c:pt>
                <c:pt idx="5">
                  <c:v>0.012345679012345678</c:v>
                </c:pt>
                <c:pt idx="6">
                  <c:v>-0.07407407407407407</c:v>
                </c:pt>
                <c:pt idx="7">
                  <c:v>-0.12345679012345678</c:v>
                </c:pt>
                <c:pt idx="8">
                  <c:v>-0.1728395061728395</c:v>
                </c:pt>
                <c:pt idx="9">
                  <c:v>-0.21604938271604937</c:v>
                </c:pt>
                <c:pt idx="10">
                  <c:v>-0.25925925925925924</c:v>
                </c:pt>
                <c:pt idx="11">
                  <c:v>-0.1728395061728395</c:v>
                </c:pt>
                <c:pt idx="12">
                  <c:v>-0.08641975308641975</c:v>
                </c:pt>
                <c:pt idx="13">
                  <c:v>-0.06481481481481481</c:v>
                </c:pt>
                <c:pt idx="14">
                  <c:v>-0.043209876543209874</c:v>
                </c:pt>
                <c:pt idx="15">
                  <c:v>0</c:v>
                </c:pt>
                <c:pt idx="16">
                  <c:v>0.043209876543209874</c:v>
                </c:pt>
              </c:numCache>
            </c:numRef>
          </c:yVal>
          <c:smooth val="0"/>
        </c:ser>
        <c:ser>
          <c:idx val="5"/>
          <c:order val="5"/>
          <c:tx>
            <c:v>cold limit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calculations!$V$33:$V$34</c:f>
              <c:numCache>
                <c:ptCount val="2"/>
                <c:pt idx="0">
                  <c:v>0.6666666666666666</c:v>
                </c:pt>
                <c:pt idx="1">
                  <c:v>0.6666666666666666</c:v>
                </c:pt>
              </c:numCache>
            </c:numRef>
          </c:yVal>
          <c:smooth val="0"/>
        </c:ser>
        <c:axId val="3275461"/>
        <c:axId val="29479150"/>
      </c:scatterChart>
      <c:valAx>
        <c:axId val="3275461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disturbance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479150"/>
        <c:crosses val="autoZero"/>
        <c:crossBetween val="midCat"/>
        <c:dispUnits/>
        <c:majorUnit val="45"/>
      </c:valAx>
      <c:valAx>
        <c:axId val="29479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hot and  cold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7546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calculations!$C$68:$M$68</c:f>
              <c:numCache>
                <c:ptCount val="11"/>
                <c:pt idx="0">
                  <c:v>0</c:v>
                </c:pt>
                <c:pt idx="1">
                  <c:v>-1.379729661461215</c:v>
                </c:pt>
                <c:pt idx="2">
                  <c:v>-1.9036539387158786</c:v>
                </c:pt>
                <c:pt idx="3">
                  <c:v>-2.6265278044037674</c:v>
                </c:pt>
                <c:pt idx="4">
                  <c:v>-3.6238983183884783</c:v>
                </c:pt>
                <c:pt idx="5">
                  <c:v>-5.000000000000001</c:v>
                </c:pt>
                <c:pt idx="6">
                  <c:v>-6.898648307306075</c:v>
                </c:pt>
                <c:pt idx="7">
                  <c:v>-9.518269693579395</c:v>
                </c:pt>
                <c:pt idx="8">
                  <c:v>-13.13263902201884</c:v>
                </c:pt>
                <c:pt idx="9">
                  <c:v>-18.119491591942392</c:v>
                </c:pt>
                <c:pt idx="10">
                  <c:v>-25.000000000000007</c:v>
                </c:pt>
              </c:numCache>
            </c:numRef>
          </c:xVal>
          <c:yVal>
            <c:numRef>
              <c:f>calculations!$R$71:$AB$71</c:f>
              <c:numCache>
                <c:ptCount val="11"/>
                <c:pt idx="0">
                  <c:v>0</c:v>
                </c:pt>
                <c:pt idx="1">
                  <c:v>-0.047392475620756484</c:v>
                </c:pt>
                <c:pt idx="2">
                  <c:v>-0.05610299171366634</c:v>
                </c:pt>
                <c:pt idx="3">
                  <c:v>-0.06472509423760017</c:v>
                </c:pt>
                <c:pt idx="4">
                  <c:v>-0.07283830991548197</c:v>
                </c:pt>
                <c:pt idx="5">
                  <c:v>-0.08011695906432749</c:v>
                </c:pt>
                <c:pt idx="6">
                  <c:v>-0.08637261715439888</c:v>
                </c:pt>
                <c:pt idx="7">
                  <c:v>-0.09155382531637427</c:v>
                </c:pt>
                <c:pt idx="8">
                  <c:v>-0.09571525060140564</c:v>
                </c:pt>
                <c:pt idx="9">
                  <c:v>-0.09897587641196531</c:v>
                </c:pt>
                <c:pt idx="10">
                  <c:v>-0.10148148148148148</c:v>
                </c:pt>
              </c:numCache>
            </c:numRef>
          </c:yVal>
          <c:smooth val="0"/>
        </c:ser>
        <c:ser>
          <c:idx val="1"/>
          <c:order val="1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calculations!$C$84:$M$84</c:f>
              <c:numCache>
                <c:ptCount val="11"/>
                <c:pt idx="0">
                  <c:v>0</c:v>
                </c:pt>
                <c:pt idx="1">
                  <c:v>-1.379729661461215</c:v>
                </c:pt>
                <c:pt idx="2">
                  <c:v>-1.9036539387158786</c:v>
                </c:pt>
                <c:pt idx="3">
                  <c:v>-2.6265278044037674</c:v>
                </c:pt>
                <c:pt idx="4">
                  <c:v>-3.6238983183884783</c:v>
                </c:pt>
                <c:pt idx="5">
                  <c:v>-5.000000000000001</c:v>
                </c:pt>
                <c:pt idx="6">
                  <c:v>-6.898648307306075</c:v>
                </c:pt>
                <c:pt idx="7">
                  <c:v>-9.518269693579395</c:v>
                </c:pt>
                <c:pt idx="8">
                  <c:v>-13.13263902201884</c:v>
                </c:pt>
                <c:pt idx="9">
                  <c:v>-18.119491591942392</c:v>
                </c:pt>
                <c:pt idx="10">
                  <c:v>-25.000000000000007</c:v>
                </c:pt>
              </c:numCache>
            </c:numRef>
          </c:xVal>
          <c:yVal>
            <c:numRef>
              <c:f>calculations!$R$74:$AB$74</c:f>
              <c:numCache>
                <c:ptCount val="11"/>
                <c:pt idx="0">
                  <c:v>-0.052222222222222225</c:v>
                </c:pt>
                <c:pt idx="1">
                  <c:v>0.014127243646836849</c:v>
                </c:pt>
                <c:pt idx="2">
                  <c:v>0.02632196617691064</c:v>
                </c:pt>
                <c:pt idx="3">
                  <c:v>0.03839290971041802</c:v>
                </c:pt>
                <c:pt idx="4">
                  <c:v>0.04975141165945253</c:v>
                </c:pt>
                <c:pt idx="5">
                  <c:v>0.05994152046783627</c:v>
                </c:pt>
                <c:pt idx="6">
                  <c:v>0.06869944179393625</c:v>
                </c:pt>
                <c:pt idx="7">
                  <c:v>0.07595313322070177</c:v>
                </c:pt>
                <c:pt idx="8">
                  <c:v>0.08177912861974569</c:v>
                </c:pt>
                <c:pt idx="9">
                  <c:v>0.08634400475452922</c:v>
                </c:pt>
                <c:pt idx="10">
                  <c:v>0.08985185185185185</c:v>
                </c:pt>
              </c:numCache>
            </c:numRef>
          </c:yVal>
          <c:smooth val="0"/>
        </c:ser>
        <c:axId val="63985759"/>
        <c:axId val="39000920"/>
      </c:scatterChart>
      <c:valAx>
        <c:axId val="6398575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 controller 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39000920"/>
        <c:crosses val="max"/>
        <c:crossBetween val="midCat"/>
        <c:dispUnits/>
      </c:valAx>
      <c:valAx>
        <c:axId val="3900092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controlled variable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85759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37</xdr:row>
      <xdr:rowOff>38100</xdr:rowOff>
    </xdr:from>
    <xdr:to>
      <xdr:col>16</xdr:col>
      <xdr:colOff>161925</xdr:colOff>
      <xdr:row>49</xdr:row>
      <xdr:rowOff>133350</xdr:rowOff>
    </xdr:to>
    <xdr:graphicFrame>
      <xdr:nvGraphicFramePr>
        <xdr:cNvPr id="1" name="Chart 5"/>
        <xdr:cNvGraphicFramePr/>
      </xdr:nvGraphicFramePr>
      <xdr:xfrm>
        <a:off x="6743700" y="6029325"/>
        <a:ext cx="33909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152400</xdr:rowOff>
    </xdr:from>
    <xdr:to>
      <xdr:col>11</xdr:col>
      <xdr:colOff>361950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162050" y="314325"/>
        <a:ext cx="59055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26</xdr:row>
      <xdr:rowOff>47625</xdr:rowOff>
    </xdr:from>
    <xdr:to>
      <xdr:col>11</xdr:col>
      <xdr:colOff>361950</xdr:colOff>
      <xdr:row>49</xdr:row>
      <xdr:rowOff>114300</xdr:rowOff>
    </xdr:to>
    <xdr:graphicFrame>
      <xdr:nvGraphicFramePr>
        <xdr:cNvPr id="2" name="Chart 2"/>
        <xdr:cNvGraphicFramePr/>
      </xdr:nvGraphicFramePr>
      <xdr:xfrm>
        <a:off x="1162050" y="4257675"/>
        <a:ext cx="59055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9</xdr:col>
      <xdr:colOff>552450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23825" y="57150"/>
        <a:ext cx="59150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24</xdr:row>
      <xdr:rowOff>47625</xdr:rowOff>
    </xdr:from>
    <xdr:to>
      <xdr:col>9</xdr:col>
      <xdr:colOff>561975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123825" y="3933825"/>
        <a:ext cx="59245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9525</xdr:rowOff>
    </xdr:from>
    <xdr:to>
      <xdr:col>10</xdr:col>
      <xdr:colOff>542925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23900" y="333375"/>
        <a:ext cx="59150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B1" s="12" t="s">
        <v>139</v>
      </c>
    </row>
    <row r="2" ht="12.75">
      <c r="B2" s="12" t="s">
        <v>122</v>
      </c>
    </row>
    <row r="3" ht="12.75">
      <c r="B3" t="s">
        <v>123</v>
      </c>
    </row>
    <row r="5" ht="12.75">
      <c r="B5" t="s">
        <v>124</v>
      </c>
    </row>
    <row r="6" ht="12.75">
      <c r="B6" t="s">
        <v>129</v>
      </c>
    </row>
    <row r="7" ht="12.75">
      <c r="B7" t="s">
        <v>125</v>
      </c>
    </row>
    <row r="9" ht="12.75">
      <c r="B9" t="s">
        <v>126</v>
      </c>
    </row>
    <row r="10" ht="12.75">
      <c r="B10" t="s">
        <v>127</v>
      </c>
    </row>
    <row r="11" ht="12.75">
      <c r="B11" t="s">
        <v>128</v>
      </c>
    </row>
    <row r="13" ht="12.75">
      <c r="B13" t="s">
        <v>130</v>
      </c>
    </row>
    <row r="14" ht="12.75">
      <c r="B14" t="s">
        <v>131</v>
      </c>
    </row>
    <row r="16" ht="12.75">
      <c r="B16" t="s">
        <v>132</v>
      </c>
    </row>
    <row r="18" ht="12.75">
      <c r="B18" t="s">
        <v>133</v>
      </c>
    </row>
    <row r="20" ht="12.75">
      <c r="B20" t="s">
        <v>134</v>
      </c>
    </row>
    <row r="22" ht="12.75">
      <c r="B22" t="s">
        <v>135</v>
      </c>
    </row>
    <row r="23" ht="12.75">
      <c r="B23" t="s">
        <v>149</v>
      </c>
    </row>
    <row r="24" ht="12.75">
      <c r="B24" t="s">
        <v>144</v>
      </c>
    </row>
    <row r="26" ht="12.75">
      <c r="B26" t="s">
        <v>136</v>
      </c>
    </row>
    <row r="27" ht="12.75">
      <c r="B27" t="s">
        <v>145</v>
      </c>
    </row>
    <row r="28" ht="12.75">
      <c r="B28" t="s">
        <v>137</v>
      </c>
    </row>
    <row r="30" ht="12.75">
      <c r="B30" t="s">
        <v>138</v>
      </c>
    </row>
    <row r="31" ht="12.75">
      <c r="B31" t="s">
        <v>150</v>
      </c>
    </row>
    <row r="35" ht="12.75">
      <c r="B35" t="s">
        <v>151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9"/>
  <sheetViews>
    <sheetView workbookViewId="0" topLeftCell="A77">
      <selection activeCell="E104" sqref="E104"/>
    </sheetView>
  </sheetViews>
  <sheetFormatPr defaultColWidth="9.140625" defaultRowHeight="12.75"/>
  <cols>
    <col min="15" max="15" width="12.421875" style="0" bestFit="1" customWidth="1"/>
  </cols>
  <sheetData>
    <row r="1" spans="1:15" ht="12.75">
      <c r="A1" t="s">
        <v>0</v>
      </c>
      <c r="O1" s="12" t="s">
        <v>72</v>
      </c>
    </row>
    <row r="2" spans="15:21" ht="12.75">
      <c r="O2" s="43"/>
      <c r="P2" s="11" t="s">
        <v>49</v>
      </c>
      <c r="Q2" s="4"/>
      <c r="R2" s="43"/>
      <c r="S2" s="11" t="s">
        <v>50</v>
      </c>
      <c r="T2" s="4"/>
      <c r="U2" s="1" t="s">
        <v>94</v>
      </c>
    </row>
    <row r="3" spans="1:21" ht="12.75">
      <c r="A3" s="12" t="s">
        <v>5</v>
      </c>
      <c r="D3" s="12" t="s">
        <v>10</v>
      </c>
      <c r="G3" s="12" t="s">
        <v>11</v>
      </c>
      <c r="J3" s="12" t="s">
        <v>24</v>
      </c>
      <c r="O3" s="35" t="s">
        <v>45</v>
      </c>
      <c r="P3" s="8" t="s">
        <v>46</v>
      </c>
      <c r="Q3" s="19" t="s">
        <v>47</v>
      </c>
      <c r="R3" s="35" t="s">
        <v>45</v>
      </c>
      <c r="S3" s="8" t="s">
        <v>46</v>
      </c>
      <c r="T3" s="19" t="s">
        <v>47</v>
      </c>
      <c r="U3" s="42" t="s">
        <v>98</v>
      </c>
    </row>
    <row r="4" spans="1:21" ht="12.75">
      <c r="A4" s="16" t="s">
        <v>1</v>
      </c>
      <c r="B4" s="3">
        <v>7</v>
      </c>
      <c r="C4" s="4" t="s">
        <v>3</v>
      </c>
      <c r="D4" s="16" t="s">
        <v>6</v>
      </c>
      <c r="E4" s="3">
        <v>0</v>
      </c>
      <c r="F4" s="4" t="s">
        <v>3</v>
      </c>
      <c r="G4" s="16" t="s">
        <v>12</v>
      </c>
      <c r="H4" s="3">
        <v>12</v>
      </c>
      <c r="I4" s="4" t="s">
        <v>3</v>
      </c>
      <c r="J4" s="16" t="s">
        <v>25</v>
      </c>
      <c r="K4" s="11">
        <f>Fhmax-Fhmin</f>
        <v>12</v>
      </c>
      <c r="L4" s="4" t="s">
        <v>3</v>
      </c>
      <c r="M4" s="29" t="str">
        <f>IF(OR(Fhr&lt;Fhmin,Fhr&gt;Fhmax),"unrealistic value"," ")</f>
        <v> </v>
      </c>
      <c r="O4" s="13">
        <f>Fhmin</f>
        <v>0</v>
      </c>
      <c r="P4" s="7">
        <f aca="true" t="shared" si="0" ref="P4:P24">(O4*Thr+Fcr*Tcr)/(O4+Fcr)</f>
        <v>17</v>
      </c>
      <c r="Q4" s="15">
        <f aca="true" t="shared" si="1" ref="Q4:Q24">(Fhr*Thr+Fcr*Tcr)/(Fhr+Fcr)+(Thr/(Fhr+Fcr)-(Fhr*Thr+Fcr*Tcr)/(Fhr+Fcr)^2)*(O4-Fhr)</f>
        <v>33.33333333333333</v>
      </c>
      <c r="R4" s="44">
        <f aca="true" t="shared" si="2" ref="R4:R24">(O4-Fhr)/delFh</f>
        <v>-0.5833333333333334</v>
      </c>
      <c r="S4" s="31">
        <f aca="true" t="shared" si="3" ref="S4:S24">(P4-Tr)/delT</f>
        <v>-0.84</v>
      </c>
      <c r="T4" s="6">
        <f aca="true" t="shared" si="4" ref="T4:T24">(Q4-Tr)/delT</f>
        <v>-0.18666666666666687</v>
      </c>
      <c r="U4">
        <f aca="true" t="shared" si="5" ref="U4:U24">(delFh*Thr*R4+Tr*Fr)/(delFh*delT*R4+delT*Fr)-Tr/delT</f>
        <v>-0.84</v>
      </c>
    </row>
    <row r="5" spans="1:21" ht="12.75">
      <c r="A5" s="21" t="s">
        <v>2</v>
      </c>
      <c r="B5" s="5">
        <v>44</v>
      </c>
      <c r="C5" s="6" t="s">
        <v>4</v>
      </c>
      <c r="D5" s="21" t="s">
        <v>7</v>
      </c>
      <c r="E5" s="5">
        <v>40</v>
      </c>
      <c r="F5" s="6" t="s">
        <v>4</v>
      </c>
      <c r="G5" s="21" t="s">
        <v>13</v>
      </c>
      <c r="H5" s="5">
        <v>45</v>
      </c>
      <c r="I5" s="6" t="s">
        <v>4</v>
      </c>
      <c r="J5" s="21" t="s">
        <v>26</v>
      </c>
      <c r="K5" s="7">
        <f>Thmax-Thmin</f>
        <v>5</v>
      </c>
      <c r="L5" s="6" t="s">
        <v>4</v>
      </c>
      <c r="M5" s="29" t="str">
        <f>IF(OR(Thr&lt;Thmin,Thr&gt;Thmax),"unrealistic value"," ")</f>
        <v> </v>
      </c>
      <c r="O5" s="13">
        <f aca="true" t="shared" si="6" ref="O5:O24">O4+(Fhmax-Fhmin)/20</f>
        <v>0.6</v>
      </c>
      <c r="P5" s="7">
        <f t="shared" si="0"/>
        <v>23.23076923076923</v>
      </c>
      <c r="Q5" s="15">
        <f t="shared" si="1"/>
        <v>33.733333333333334</v>
      </c>
      <c r="R5" s="44">
        <f t="shared" si="2"/>
        <v>-0.5333333333333333</v>
      </c>
      <c r="S5" s="31">
        <f t="shared" si="3"/>
        <v>-0.5907692307692308</v>
      </c>
      <c r="T5" s="6">
        <f t="shared" si="4"/>
        <v>-0.17066666666666663</v>
      </c>
      <c r="U5">
        <f t="shared" si="5"/>
        <v>-0.5907692307692312</v>
      </c>
    </row>
    <row r="6" spans="1:21" ht="12.75">
      <c r="A6" s="21" t="s">
        <v>33</v>
      </c>
      <c r="B6" s="5">
        <v>2</v>
      </c>
      <c r="C6" s="6" t="s">
        <v>3</v>
      </c>
      <c r="D6" s="21" t="s">
        <v>8</v>
      </c>
      <c r="E6" s="5">
        <v>0</v>
      </c>
      <c r="F6" s="6" t="s">
        <v>3</v>
      </c>
      <c r="G6" s="21" t="s">
        <v>14</v>
      </c>
      <c r="H6" s="5">
        <v>6</v>
      </c>
      <c r="I6" s="6" t="s">
        <v>3</v>
      </c>
      <c r="J6" s="21" t="s">
        <v>27</v>
      </c>
      <c r="K6" s="7">
        <f>Fcmax-Fcmin</f>
        <v>6</v>
      </c>
      <c r="L6" s="6" t="s">
        <v>3</v>
      </c>
      <c r="M6" s="29" t="str">
        <f>IF(OR(Fcr&lt;Fcmin,Fcr&gt;Fcmax),"unrealistic value"," ")</f>
        <v> </v>
      </c>
      <c r="O6" s="13">
        <f t="shared" si="6"/>
        <v>1.2</v>
      </c>
      <c r="P6" s="7">
        <f t="shared" si="0"/>
        <v>27.124999999999996</v>
      </c>
      <c r="Q6" s="15">
        <f t="shared" si="1"/>
        <v>34.13333333333333</v>
      </c>
      <c r="R6" s="44">
        <f t="shared" si="2"/>
        <v>-0.48333333333333334</v>
      </c>
      <c r="S6" s="31">
        <f t="shared" si="3"/>
        <v>-0.43500000000000016</v>
      </c>
      <c r="T6" s="6">
        <f t="shared" si="4"/>
        <v>-0.15466666666666667</v>
      </c>
      <c r="U6">
        <f t="shared" si="5"/>
        <v>-0.43499999999999983</v>
      </c>
    </row>
    <row r="7" spans="1:21" ht="12.75">
      <c r="A7" s="21" t="s">
        <v>34</v>
      </c>
      <c r="B7" s="5">
        <v>17</v>
      </c>
      <c r="C7" s="6" t="s">
        <v>4</v>
      </c>
      <c r="D7" s="21" t="s">
        <v>9</v>
      </c>
      <c r="E7" s="5">
        <v>10</v>
      </c>
      <c r="F7" s="6" t="s">
        <v>4</v>
      </c>
      <c r="G7" s="21" t="s">
        <v>15</v>
      </c>
      <c r="H7" s="5">
        <v>25</v>
      </c>
      <c r="I7" s="6" t="s">
        <v>4</v>
      </c>
      <c r="J7" s="21" t="s">
        <v>28</v>
      </c>
      <c r="K7" s="7">
        <f>Tcmax-Tcmin</f>
        <v>15</v>
      </c>
      <c r="L7" s="6" t="s">
        <v>4</v>
      </c>
      <c r="M7" s="29" t="str">
        <f>IF(OR(Tcr&lt;Tcmin,Tcr&gt;Tcmax),"unrealistic value"," ")</f>
        <v> </v>
      </c>
      <c r="O7" s="13">
        <f t="shared" si="6"/>
        <v>1.7999999999999998</v>
      </c>
      <c r="P7" s="7">
        <f t="shared" si="0"/>
        <v>29.789473684210524</v>
      </c>
      <c r="Q7" s="15">
        <f t="shared" si="1"/>
        <v>34.53333333333333</v>
      </c>
      <c r="R7" s="44">
        <f t="shared" si="2"/>
        <v>-0.43333333333333335</v>
      </c>
      <c r="S7" s="31">
        <f t="shared" si="3"/>
        <v>-0.32842105263157906</v>
      </c>
      <c r="T7" s="6">
        <f t="shared" si="4"/>
        <v>-0.13866666666666674</v>
      </c>
      <c r="U7">
        <f t="shared" si="5"/>
        <v>-0.32842105263157917</v>
      </c>
    </row>
    <row r="8" spans="1:21" ht="12.75">
      <c r="A8" s="21" t="s">
        <v>20</v>
      </c>
      <c r="B8" s="7">
        <f>Fhr+Fcr</f>
        <v>9</v>
      </c>
      <c r="C8" s="6" t="s">
        <v>3</v>
      </c>
      <c r="D8" s="21" t="s">
        <v>16</v>
      </c>
      <c r="E8" s="5">
        <v>0</v>
      </c>
      <c r="F8" s="6" t="s">
        <v>3</v>
      </c>
      <c r="G8" s="21" t="s">
        <v>18</v>
      </c>
      <c r="H8" s="5">
        <v>15</v>
      </c>
      <c r="I8" s="6" t="s">
        <v>3</v>
      </c>
      <c r="J8" s="21" t="s">
        <v>29</v>
      </c>
      <c r="K8" s="7">
        <f>Fmax-Fmin</f>
        <v>15</v>
      </c>
      <c r="L8" s="6" t="s">
        <v>3</v>
      </c>
      <c r="M8" s="29" t="str">
        <f>IF(OR(Fr&lt;Fmin,Fr&gt;Fmax),"unrealistic value"," ")</f>
        <v> </v>
      </c>
      <c r="O8" s="13">
        <f t="shared" si="6"/>
        <v>2.4</v>
      </c>
      <c r="P8" s="7">
        <f t="shared" si="0"/>
        <v>31.727272727272723</v>
      </c>
      <c r="Q8" s="15">
        <f t="shared" si="1"/>
        <v>34.93333333333333</v>
      </c>
      <c r="R8" s="44">
        <f t="shared" si="2"/>
        <v>-0.3833333333333333</v>
      </c>
      <c r="S8" s="31">
        <f t="shared" si="3"/>
        <v>-0.2509090909090911</v>
      </c>
      <c r="T8" s="6">
        <f t="shared" si="4"/>
        <v>-0.1226666666666668</v>
      </c>
      <c r="U8">
        <f t="shared" si="5"/>
        <v>-0.25090909090909097</v>
      </c>
    </row>
    <row r="9" spans="1:21" ht="12.75">
      <c r="A9" s="17" t="s">
        <v>21</v>
      </c>
      <c r="B9" s="8">
        <f>(Fhr*Thr+Fcr*Tcr)/Fr</f>
        <v>38</v>
      </c>
      <c r="C9" s="9" t="s">
        <v>4</v>
      </c>
      <c r="D9" s="17" t="s">
        <v>17</v>
      </c>
      <c r="E9" s="10">
        <v>20</v>
      </c>
      <c r="F9" s="9" t="s">
        <v>4</v>
      </c>
      <c r="G9" s="17" t="s">
        <v>19</v>
      </c>
      <c r="H9" s="10">
        <v>45</v>
      </c>
      <c r="I9" s="9" t="s">
        <v>4</v>
      </c>
      <c r="J9" s="17" t="s">
        <v>30</v>
      </c>
      <c r="K9" s="8">
        <f>Tmax-Tmin</f>
        <v>25</v>
      </c>
      <c r="L9" s="9" t="s">
        <v>4</v>
      </c>
      <c r="M9" s="29" t="str">
        <f>IF(OR(Tr&lt;Tmin,Tr&gt;Tmax),"unrealistic value"," ")</f>
        <v> </v>
      </c>
      <c r="O9" s="13">
        <f t="shared" si="6"/>
        <v>3</v>
      </c>
      <c r="P9" s="7">
        <f t="shared" si="0"/>
        <v>33.2</v>
      </c>
      <c r="Q9" s="15">
        <f t="shared" si="1"/>
        <v>35.33333333333333</v>
      </c>
      <c r="R9" s="44">
        <f t="shared" si="2"/>
        <v>-0.3333333333333333</v>
      </c>
      <c r="S9" s="31">
        <f t="shared" si="3"/>
        <v>-0.1919999999999999</v>
      </c>
      <c r="T9" s="6">
        <f t="shared" si="4"/>
        <v>-0.10666666666666685</v>
      </c>
      <c r="U9">
        <f t="shared" si="5"/>
        <v>-0.19199999999999995</v>
      </c>
    </row>
    <row r="10" spans="15:21" ht="12.75">
      <c r="O10" s="13">
        <f t="shared" si="6"/>
        <v>3.6</v>
      </c>
      <c r="P10" s="7">
        <f t="shared" si="0"/>
        <v>34.35714285714286</v>
      </c>
      <c r="Q10" s="15">
        <f t="shared" si="1"/>
        <v>35.733333333333334</v>
      </c>
      <c r="R10" s="44">
        <f t="shared" si="2"/>
        <v>-0.2833333333333333</v>
      </c>
      <c r="S10" s="31">
        <f t="shared" si="3"/>
        <v>-0.14571428571428555</v>
      </c>
      <c r="T10" s="6">
        <f t="shared" si="4"/>
        <v>-0.09066666666666663</v>
      </c>
      <c r="U10">
        <f t="shared" si="5"/>
        <v>-0.14571428571428569</v>
      </c>
    </row>
    <row r="11" spans="1:21" ht="12.75">
      <c r="A11" s="30" t="s">
        <v>50</v>
      </c>
      <c r="O11" s="13">
        <f t="shared" si="6"/>
        <v>4.2</v>
      </c>
      <c r="P11" s="7">
        <f t="shared" si="0"/>
        <v>35.29032258064516</v>
      </c>
      <c r="Q11" s="15">
        <f t="shared" si="1"/>
        <v>36.13333333333333</v>
      </c>
      <c r="R11" s="44">
        <f t="shared" si="2"/>
        <v>-0.2333333333333333</v>
      </c>
      <c r="S11" s="31">
        <f t="shared" si="3"/>
        <v>-0.1083870967741936</v>
      </c>
      <c r="T11" s="6">
        <f t="shared" si="4"/>
        <v>-0.07466666666666669</v>
      </c>
      <c r="U11">
        <f t="shared" si="5"/>
        <v>-0.10838709677419356</v>
      </c>
    </row>
    <row r="12" spans="2:21" ht="12.75">
      <c r="B12" s="26" t="s">
        <v>80</v>
      </c>
      <c r="C12" s="26"/>
      <c r="D12" s="26"/>
      <c r="E12" s="26" t="s">
        <v>81</v>
      </c>
      <c r="F12" s="26"/>
      <c r="G12" s="26"/>
      <c r="H12" s="26" t="s">
        <v>82</v>
      </c>
      <c r="O12" s="13">
        <f t="shared" si="6"/>
        <v>4.8</v>
      </c>
      <c r="P12" s="7">
        <f t="shared" si="0"/>
        <v>36.05882352941176</v>
      </c>
      <c r="Q12" s="15">
        <f t="shared" si="1"/>
        <v>36.53333333333333</v>
      </c>
      <c r="R12" s="44">
        <f t="shared" si="2"/>
        <v>-0.18333333333333335</v>
      </c>
      <c r="S12" s="31">
        <f t="shared" si="3"/>
        <v>-0.07764705882352957</v>
      </c>
      <c r="T12" s="6">
        <f t="shared" si="4"/>
        <v>-0.05866666666666674</v>
      </c>
      <c r="U12">
        <f t="shared" si="5"/>
        <v>-0.0776470588235294</v>
      </c>
    </row>
    <row r="13" spans="1:21" ht="12.75">
      <c r="A13" s="24" t="s">
        <v>68</v>
      </c>
      <c r="B13" s="32">
        <f>(Fhr-Fhr)/delFh</f>
        <v>0</v>
      </c>
      <c r="C13" s="31"/>
      <c r="D13" s="24"/>
      <c r="E13" s="27">
        <f>(Fhmin-Fhr)/delFh</f>
        <v>-0.5833333333333334</v>
      </c>
      <c r="F13" s="31"/>
      <c r="G13" s="24"/>
      <c r="H13" s="27">
        <f>(Fhmax-Fhr)/delFh</f>
        <v>0.4166666666666667</v>
      </c>
      <c r="O13" s="13">
        <f t="shared" si="6"/>
        <v>5.3999999999999995</v>
      </c>
      <c r="P13" s="7">
        <f t="shared" si="0"/>
        <v>36.7027027027027</v>
      </c>
      <c r="Q13" s="15">
        <f t="shared" si="1"/>
        <v>36.93333333333333</v>
      </c>
      <c r="R13" s="44">
        <f t="shared" si="2"/>
        <v>-0.1333333333333334</v>
      </c>
      <c r="S13" s="31">
        <f t="shared" si="3"/>
        <v>-0.05189189189189193</v>
      </c>
      <c r="T13" s="6">
        <f t="shared" si="4"/>
        <v>-0.0426666666666668</v>
      </c>
      <c r="U13">
        <f t="shared" si="5"/>
        <v>-0.05189189189189203</v>
      </c>
    </row>
    <row r="14" spans="1:21" ht="12.75">
      <c r="A14" s="24" t="s">
        <v>64</v>
      </c>
      <c r="B14" s="33">
        <f>(Thr-Thr)/delTh</f>
        <v>0</v>
      </c>
      <c r="C14" s="31"/>
      <c r="D14" s="24"/>
      <c r="E14" s="27">
        <f>(Thmin-Thr)/delTh</f>
        <v>-0.8</v>
      </c>
      <c r="F14" s="31"/>
      <c r="G14" s="24"/>
      <c r="H14" s="27">
        <f>(Thmax-Thr)/delTh</f>
        <v>0.2</v>
      </c>
      <c r="O14" s="13">
        <f t="shared" si="6"/>
        <v>5.999999999999999</v>
      </c>
      <c r="P14" s="7">
        <f t="shared" si="0"/>
        <v>37.25</v>
      </c>
      <c r="Q14" s="15">
        <f t="shared" si="1"/>
        <v>37.333333333333336</v>
      </c>
      <c r="R14" s="44">
        <f t="shared" si="2"/>
        <v>-0.08333333333333341</v>
      </c>
      <c r="S14" s="31">
        <f t="shared" si="3"/>
        <v>-0.03</v>
      </c>
      <c r="T14" s="6">
        <f t="shared" si="4"/>
        <v>-0.02666666666666657</v>
      </c>
      <c r="U14">
        <f t="shared" si="5"/>
        <v>-0.030000000000000027</v>
      </c>
    </row>
    <row r="15" spans="1:21" ht="12.75">
      <c r="A15" s="24" t="s">
        <v>69</v>
      </c>
      <c r="B15" s="33">
        <f>(Fcr-Fcr)/delFc</f>
        <v>0</v>
      </c>
      <c r="C15" s="31"/>
      <c r="D15" s="24"/>
      <c r="E15" s="27">
        <f>(Fcmin-Fcr)/delFc</f>
        <v>-0.3333333333333333</v>
      </c>
      <c r="F15" s="31"/>
      <c r="G15" s="24"/>
      <c r="H15" s="27">
        <f>(Fcmax-Fcr)/delFc</f>
        <v>0.6666666666666666</v>
      </c>
      <c r="O15" s="13">
        <f t="shared" si="6"/>
        <v>6.599999999999999</v>
      </c>
      <c r="P15" s="7">
        <f t="shared" si="0"/>
        <v>37.72093023255814</v>
      </c>
      <c r="Q15" s="15">
        <f t="shared" si="1"/>
        <v>37.733333333333334</v>
      </c>
      <c r="R15" s="44">
        <f t="shared" si="2"/>
        <v>-0.03333333333333344</v>
      </c>
      <c r="S15" s="31">
        <f t="shared" si="3"/>
        <v>-0.011162790697674438</v>
      </c>
      <c r="T15" s="6">
        <f t="shared" si="4"/>
        <v>-0.010666666666666628</v>
      </c>
      <c r="U15">
        <f t="shared" si="5"/>
        <v>-0.011162790697674563</v>
      </c>
    </row>
    <row r="16" spans="1:21" ht="12.75">
      <c r="A16" s="24" t="s">
        <v>65</v>
      </c>
      <c r="B16" s="33">
        <f>(Tcr-Tcr)/delTc</f>
        <v>0</v>
      </c>
      <c r="C16" s="31"/>
      <c r="D16" s="24"/>
      <c r="E16" s="27">
        <f>(Tcmin-Tcr)/delTc</f>
        <v>-0.4666666666666667</v>
      </c>
      <c r="F16" s="31"/>
      <c r="G16" s="24"/>
      <c r="H16" s="27">
        <f>(Tcmax-Tcr)/delTc</f>
        <v>0.5333333333333333</v>
      </c>
      <c r="O16" s="13">
        <f t="shared" si="6"/>
        <v>7.199999999999998</v>
      </c>
      <c r="P16" s="7">
        <f t="shared" si="0"/>
        <v>38.130434782608695</v>
      </c>
      <c r="Q16" s="15">
        <f t="shared" si="1"/>
        <v>38.13333333333333</v>
      </c>
      <c r="R16" s="44">
        <f t="shared" si="2"/>
        <v>0.016666666666666535</v>
      </c>
      <c r="S16" s="31">
        <f t="shared" si="3"/>
        <v>0.0052173913043478135</v>
      </c>
      <c r="T16" s="6">
        <f t="shared" si="4"/>
        <v>0.005333333333333314</v>
      </c>
      <c r="U16">
        <f t="shared" si="5"/>
        <v>0.00521739130434784</v>
      </c>
    </row>
    <row r="17" spans="1:21" ht="12.75">
      <c r="A17" s="24" t="s">
        <v>66</v>
      </c>
      <c r="B17" s="33">
        <f>(Fr-Fr)/delF</f>
        <v>0</v>
      </c>
      <c r="C17" s="31"/>
      <c r="D17" s="24"/>
      <c r="E17" s="27">
        <f>(Fmin-Fr)/delF</f>
        <v>-0.6</v>
      </c>
      <c r="F17" s="31"/>
      <c r="G17" s="24"/>
      <c r="H17" s="27">
        <f>(Fmax-Fr)/delF</f>
        <v>0.4</v>
      </c>
      <c r="O17" s="13">
        <f t="shared" si="6"/>
        <v>7.799999999999998</v>
      </c>
      <c r="P17" s="7">
        <f t="shared" si="0"/>
        <v>38.48979591836735</v>
      </c>
      <c r="Q17" s="15">
        <f t="shared" si="1"/>
        <v>38.53333333333333</v>
      </c>
      <c r="R17" s="44">
        <f t="shared" si="2"/>
        <v>0.0666666666666665</v>
      </c>
      <c r="S17" s="31">
        <f t="shared" si="3"/>
        <v>0.01959183673469397</v>
      </c>
      <c r="T17" s="6">
        <f t="shared" si="4"/>
        <v>0.021333333333333256</v>
      </c>
      <c r="U17">
        <f t="shared" si="5"/>
        <v>0.01959183673469389</v>
      </c>
    </row>
    <row r="18" spans="1:21" ht="12.75">
      <c r="A18" s="24" t="s">
        <v>67</v>
      </c>
      <c r="B18" s="33">
        <f>(Tr-Tr)/delT</f>
        <v>0</v>
      </c>
      <c r="C18" s="31"/>
      <c r="D18" s="24"/>
      <c r="E18" s="27">
        <f>(Tmin-Tr)/delT</f>
        <v>-0.72</v>
      </c>
      <c r="F18" s="31"/>
      <c r="G18" s="24"/>
      <c r="H18" s="27">
        <f>(Tmax-Tr)/delT</f>
        <v>0.28</v>
      </c>
      <c r="O18" s="13">
        <f t="shared" si="6"/>
        <v>8.399999999999999</v>
      </c>
      <c r="P18" s="7">
        <f t="shared" si="0"/>
        <v>38.80769230769231</v>
      </c>
      <c r="Q18" s="15">
        <f t="shared" si="1"/>
        <v>38.93333333333333</v>
      </c>
      <c r="R18" s="44">
        <f t="shared" si="2"/>
        <v>0.11666666666666654</v>
      </c>
      <c r="S18" s="31">
        <f t="shared" si="3"/>
        <v>0.032307692307692266</v>
      </c>
      <c r="T18" s="6">
        <f t="shared" si="4"/>
        <v>0.0373333333333332</v>
      </c>
      <c r="U18">
        <f t="shared" si="5"/>
        <v>0.03230769230769237</v>
      </c>
    </row>
    <row r="19" spans="15:21" ht="12.75">
      <c r="O19" s="13">
        <f t="shared" si="6"/>
        <v>8.999999999999998</v>
      </c>
      <c r="P19" s="7">
        <f t="shared" si="0"/>
        <v>39.09090909090909</v>
      </c>
      <c r="Q19" s="15">
        <f t="shared" si="1"/>
        <v>39.333333333333336</v>
      </c>
      <c r="R19" s="44">
        <f t="shared" si="2"/>
        <v>0.16666666666666652</v>
      </c>
      <c r="S19" s="31">
        <f t="shared" si="3"/>
        <v>0.04363636363636374</v>
      </c>
      <c r="T19" s="6">
        <f t="shared" si="4"/>
        <v>0.05333333333333343</v>
      </c>
      <c r="U19">
        <f t="shared" si="5"/>
        <v>0.04363636363636347</v>
      </c>
    </row>
    <row r="20" spans="1:21" ht="12.75">
      <c r="A20" s="12" t="s">
        <v>31</v>
      </c>
      <c r="O20" s="13">
        <f t="shared" si="6"/>
        <v>9.599999999999998</v>
      </c>
      <c r="P20" s="7">
        <f t="shared" si="0"/>
        <v>39.3448275862069</v>
      </c>
      <c r="Q20" s="15">
        <f t="shared" si="1"/>
        <v>39.733333333333334</v>
      </c>
      <c r="R20" s="44">
        <f t="shared" si="2"/>
        <v>0.21666666666666648</v>
      </c>
      <c r="S20" s="31">
        <f t="shared" si="3"/>
        <v>0.05379310344827587</v>
      </c>
      <c r="T20" s="6">
        <f t="shared" si="4"/>
        <v>0.06933333333333337</v>
      </c>
      <c r="U20">
        <f t="shared" si="5"/>
        <v>0.053793103448275925</v>
      </c>
    </row>
    <row r="21" spans="15:21" ht="12.75">
      <c r="O21" s="13">
        <f t="shared" si="6"/>
        <v>10.199999999999998</v>
      </c>
      <c r="P21" s="7">
        <f t="shared" si="0"/>
        <v>39.57377049180328</v>
      </c>
      <c r="Q21" s="15">
        <f t="shared" si="1"/>
        <v>40.13333333333333</v>
      </c>
      <c r="R21" s="44">
        <f t="shared" si="2"/>
        <v>0.26666666666666644</v>
      </c>
      <c r="S21" s="31">
        <f t="shared" si="3"/>
        <v>0.06295081967213122</v>
      </c>
      <c r="T21" s="6">
        <f t="shared" si="4"/>
        <v>0.08533333333333332</v>
      </c>
      <c r="U21">
        <f t="shared" si="5"/>
        <v>0.0629508196721309</v>
      </c>
    </row>
    <row r="22" spans="1:21" ht="12.75">
      <c r="A22" s="14" t="s">
        <v>66</v>
      </c>
      <c r="B22" s="2" t="s">
        <v>32</v>
      </c>
      <c r="C22" s="13">
        <f>delFh/delF</f>
        <v>0.8</v>
      </c>
      <c r="D22" s="15">
        <f>delFc/delF</f>
        <v>0.4</v>
      </c>
      <c r="E22" s="2" t="s">
        <v>35</v>
      </c>
      <c r="F22" s="14" t="s">
        <v>68</v>
      </c>
      <c r="G22" s="2" t="s">
        <v>37</v>
      </c>
      <c r="H22" s="13">
        <v>0</v>
      </c>
      <c r="I22" s="15">
        <v>0</v>
      </c>
      <c r="J22" s="2" t="s">
        <v>35</v>
      </c>
      <c r="K22" s="14" t="s">
        <v>64</v>
      </c>
      <c r="O22" s="13">
        <f t="shared" si="6"/>
        <v>10.799999999999997</v>
      </c>
      <c r="P22" s="7">
        <f t="shared" si="0"/>
        <v>39.78125</v>
      </c>
      <c r="Q22" s="15">
        <f t="shared" si="1"/>
        <v>40.53333333333333</v>
      </c>
      <c r="R22" s="44">
        <f t="shared" si="2"/>
        <v>0.31666666666666643</v>
      </c>
      <c r="S22" s="31">
        <f t="shared" si="3"/>
        <v>0.07125</v>
      </c>
      <c r="T22" s="6">
        <f t="shared" si="4"/>
        <v>0.10133333333333326</v>
      </c>
      <c r="U22">
        <f t="shared" si="5"/>
        <v>0.07124999999999981</v>
      </c>
    </row>
    <row r="23" spans="1:21" ht="12.75">
      <c r="A23" s="14" t="s">
        <v>67</v>
      </c>
      <c r="B23" s="1"/>
      <c r="C23" s="13">
        <f>(Thr-Tr)*delFh/(Fr*delT)</f>
        <v>0.32</v>
      </c>
      <c r="D23" s="15">
        <f>(Tcr-Tr)*delFc/(Fr*delT)</f>
        <v>-0.56</v>
      </c>
      <c r="E23" s="1"/>
      <c r="F23" s="14" t="s">
        <v>69</v>
      </c>
      <c r="G23" s="1"/>
      <c r="H23" s="13">
        <f>Fhr*delTh/(Fr*delT)</f>
        <v>0.15555555555555556</v>
      </c>
      <c r="I23" s="15">
        <f>Fcr*delTc/(Fr*delT)</f>
        <v>0.13333333333333333</v>
      </c>
      <c r="J23" s="1"/>
      <c r="K23" s="14" t="s">
        <v>65</v>
      </c>
      <c r="O23" s="13">
        <f t="shared" si="6"/>
        <v>11.399999999999997</v>
      </c>
      <c r="P23" s="7">
        <f t="shared" si="0"/>
        <v>39.97014925373134</v>
      </c>
      <c r="Q23" s="15">
        <f t="shared" si="1"/>
        <v>40.93333333333333</v>
      </c>
      <c r="R23" s="44">
        <f t="shared" si="2"/>
        <v>0.3666666666666664</v>
      </c>
      <c r="S23" s="31">
        <f t="shared" si="3"/>
        <v>0.07880597014925371</v>
      </c>
      <c r="T23" s="6">
        <f t="shared" si="4"/>
        <v>0.1173333333333332</v>
      </c>
      <c r="U23">
        <f t="shared" si="5"/>
        <v>0.07880597014925361</v>
      </c>
    </row>
    <row r="24" spans="15:21" ht="12.75">
      <c r="O24" s="35">
        <f t="shared" si="6"/>
        <v>11.999999999999996</v>
      </c>
      <c r="P24" s="8">
        <f t="shared" si="0"/>
        <v>40.142857142857146</v>
      </c>
      <c r="Q24" s="19">
        <f t="shared" si="1"/>
        <v>41.333333333333336</v>
      </c>
      <c r="R24" s="45">
        <f t="shared" si="2"/>
        <v>0.41666666666666635</v>
      </c>
      <c r="S24" s="26">
        <f t="shared" si="3"/>
        <v>0.08571428571428584</v>
      </c>
      <c r="T24" s="9">
        <f t="shared" si="4"/>
        <v>0.13333333333333341</v>
      </c>
      <c r="U24">
        <f t="shared" si="5"/>
        <v>0.08571428571428563</v>
      </c>
    </row>
    <row r="26" ht="12.75">
      <c r="A26" s="12" t="s">
        <v>40</v>
      </c>
    </row>
    <row r="27" spans="2:3" ht="12.75">
      <c r="B27" s="8" t="s">
        <v>36</v>
      </c>
      <c r="C27" s="8" t="s">
        <v>148</v>
      </c>
    </row>
    <row r="28" spans="1:3" ht="12.75">
      <c r="A28" s="14" t="s">
        <v>22</v>
      </c>
      <c r="B28" s="61">
        <f>Fhr/Fr</f>
        <v>0.7777777777777778</v>
      </c>
      <c r="C28" s="62">
        <f>1-B28</f>
        <v>0.2222222222222222</v>
      </c>
    </row>
    <row r="29" spans="1:3" ht="12.75">
      <c r="A29" s="14" t="s">
        <v>23</v>
      </c>
      <c r="B29" s="61">
        <f>1-B28</f>
        <v>0.2222222222222222</v>
      </c>
      <c r="C29" s="62">
        <f>B28</f>
        <v>0.7777777777777778</v>
      </c>
    </row>
    <row r="30" spans="7:9" ht="12.75">
      <c r="G30" t="s">
        <v>94</v>
      </c>
      <c r="I30" t="s">
        <v>94</v>
      </c>
    </row>
    <row r="31" spans="1:18" ht="12.75">
      <c r="A31" s="12" t="s">
        <v>41</v>
      </c>
      <c r="G31" t="s">
        <v>95</v>
      </c>
      <c r="I31" t="s">
        <v>96</v>
      </c>
      <c r="R31" s="12" t="s">
        <v>83</v>
      </c>
    </row>
    <row r="32" spans="1:22" ht="12.75">
      <c r="A32" s="8" t="s">
        <v>42</v>
      </c>
      <c r="B32" s="8" t="s">
        <v>64</v>
      </c>
      <c r="C32" s="8" t="s">
        <v>65</v>
      </c>
      <c r="D32" s="8" t="s">
        <v>43</v>
      </c>
      <c r="E32" s="36" t="s">
        <v>68</v>
      </c>
      <c r="F32" s="37" t="s">
        <v>69</v>
      </c>
      <c r="G32" s="36" t="s">
        <v>66</v>
      </c>
      <c r="H32" s="37" t="s">
        <v>67</v>
      </c>
      <c r="I32" s="36" t="s">
        <v>68</v>
      </c>
      <c r="J32" s="37" t="s">
        <v>69</v>
      </c>
      <c r="L32" s="28" t="s">
        <v>74</v>
      </c>
      <c r="R32" s="8" t="s">
        <v>42</v>
      </c>
      <c r="S32" s="8" t="s">
        <v>84</v>
      </c>
      <c r="T32" s="8" t="s">
        <v>85</v>
      </c>
      <c r="U32" s="8" t="s">
        <v>86</v>
      </c>
      <c r="V32" s="8" t="s">
        <v>87</v>
      </c>
    </row>
    <row r="33" spans="1:22" ht="12.75">
      <c r="A33" s="57">
        <f>ABS(ACOS(B33/SQRT(B33^2+C33^2))*180/PI()-360*IF(C33&lt;0,1,0))</f>
        <v>0</v>
      </c>
      <c r="B33" s="1">
        <f>(Thmax-Thr)/delTh</f>
        <v>0.2</v>
      </c>
      <c r="C33" s="1">
        <f>(Tcr-Tcr)/delTc</f>
        <v>0</v>
      </c>
      <c r="D33" s="58">
        <f aca="true" t="shared" si="7" ref="D33:D48">SQRT(1/delFh^2+1/delFc^2)*ABS(Fhr*delTh*B33+Fcr*delTc*C33)/(Thr-Tcr)</f>
        <v>0.048310110624995455</v>
      </c>
      <c r="E33" s="13">
        <f aca="true" t="shared" si="8" ref="E33:E48">-(Fhr*delTh*B33+Fcr*delTc*C33)/(Thr-Tcr)/delFh</f>
        <v>-0.021604938271604937</v>
      </c>
      <c r="F33" s="15">
        <f aca="true" t="shared" si="9" ref="F33:F48">(Fhr*delTh*B33+Fcr*delTc*C33)/(Thr-Tcr)/delFc</f>
        <v>0.043209876543209874</v>
      </c>
      <c r="G33" s="13">
        <f aca="true" t="shared" si="10" ref="G33:G49">pm_11*E33+pm_12*F33</f>
        <v>0</v>
      </c>
      <c r="H33" s="15">
        <f aca="true" t="shared" si="11" ref="H33:H49">pm_21*E33+pm_22*F33+pd_21*B33+pd_22*C33</f>
        <v>3.469446951953614E-18</v>
      </c>
      <c r="I33" s="38" t="str">
        <f>IF(OR(E33&lt;$E$13,E33&gt;$H$13),"LIMITS"," ")</f>
        <v> </v>
      </c>
      <c r="J33" s="39" t="str">
        <f>IF(OR(F33&lt;$E$15,F33&gt;$H$15),"LIMITS"," ")</f>
        <v> </v>
      </c>
      <c r="L33" t="s">
        <v>75</v>
      </c>
      <c r="R33" s="1">
        <v>0</v>
      </c>
      <c r="S33" s="1">
        <f>$E$13</f>
        <v>-0.5833333333333334</v>
      </c>
      <c r="T33" s="1">
        <f>$H$13</f>
        <v>0.4166666666666667</v>
      </c>
      <c r="U33" s="1">
        <f>$E$15</f>
        <v>-0.3333333333333333</v>
      </c>
      <c r="V33" s="1">
        <f>$H$15</f>
        <v>0.6666666666666666</v>
      </c>
    </row>
    <row r="34" spans="1:22" ht="12.75">
      <c r="A34" s="57">
        <f aca="true" t="shared" si="12" ref="A34:A48">ABS(ACOS(B34/SQRT(B34^2+C34^2))*180/PI()-360*IF(C34&lt;0,1,0))</f>
        <v>53.13010235415598</v>
      </c>
      <c r="B34" s="1">
        <f>(Thmax-Thr)/delTh</f>
        <v>0.2</v>
      </c>
      <c r="C34" s="1">
        <f>0.5*(Tcmax-Tcr)/delTc</f>
        <v>0.26666666666666666</v>
      </c>
      <c r="D34" s="59">
        <f t="shared" si="7"/>
        <v>0.10352166562499027</v>
      </c>
      <c r="E34" s="13">
        <f t="shared" si="8"/>
        <v>-0.0462962962962963</v>
      </c>
      <c r="F34" s="15">
        <f t="shared" si="9"/>
        <v>0.0925925925925926</v>
      </c>
      <c r="G34" s="13">
        <f t="shared" si="10"/>
        <v>0</v>
      </c>
      <c r="H34" s="15">
        <f t="shared" si="11"/>
        <v>0</v>
      </c>
      <c r="I34" s="38" t="str">
        <f aca="true" t="shared" si="13" ref="I34:I49">IF(OR(E34&lt;$E$13,E34&gt;$H$13),"LIMITS"," ")</f>
        <v> </v>
      </c>
      <c r="J34" s="39" t="str">
        <f aca="true" t="shared" si="14" ref="J34:J49">IF(OR(F34&lt;$E$15,F34&gt;$H$15),"LIMITS"," ")</f>
        <v> </v>
      </c>
      <c r="L34" t="s">
        <v>76</v>
      </c>
      <c r="R34" s="1">
        <v>360</v>
      </c>
      <c r="S34" s="1">
        <f>$E$13</f>
        <v>-0.5833333333333334</v>
      </c>
      <c r="T34" s="1">
        <f>$H$13</f>
        <v>0.4166666666666667</v>
      </c>
      <c r="U34" s="1">
        <f>$E$15</f>
        <v>-0.3333333333333333</v>
      </c>
      <c r="V34" s="1">
        <f>$H$15</f>
        <v>0.6666666666666666</v>
      </c>
    </row>
    <row r="35" spans="1:12" ht="12.75">
      <c r="A35" s="57">
        <f t="shared" si="12"/>
        <v>69.44395478041653</v>
      </c>
      <c r="B35" s="1">
        <f>(Thmax-Thr)/delTh</f>
        <v>0.2</v>
      </c>
      <c r="C35" s="1">
        <f>(Tcmax-Tcr)/delTc</f>
        <v>0.5333333333333333</v>
      </c>
      <c r="D35" s="59">
        <f t="shared" si="7"/>
        <v>0.15873322062498507</v>
      </c>
      <c r="E35" s="13">
        <f t="shared" si="8"/>
        <v>-0.07098765432098765</v>
      </c>
      <c r="F35" s="15">
        <f t="shared" si="9"/>
        <v>0.1419753086419753</v>
      </c>
      <c r="G35" s="13">
        <f t="shared" si="10"/>
        <v>0</v>
      </c>
      <c r="H35" s="15">
        <f t="shared" si="11"/>
        <v>0</v>
      </c>
      <c r="I35" s="38" t="str">
        <f t="shared" si="13"/>
        <v> </v>
      </c>
      <c r="J35" s="39" t="str">
        <f t="shared" si="14"/>
        <v> </v>
      </c>
      <c r="L35" t="s">
        <v>77</v>
      </c>
    </row>
    <row r="36" spans="1:12" ht="12.75">
      <c r="A36" s="57">
        <f t="shared" si="12"/>
        <v>79.38034472384487</v>
      </c>
      <c r="B36" s="1">
        <f>0.5*(Thmax-Thr)/delTh</f>
        <v>0.1</v>
      </c>
      <c r="C36" s="1">
        <f>(Tcmax-Tcr)/delTc</f>
        <v>0.5333333333333333</v>
      </c>
      <c r="D36" s="59">
        <f t="shared" si="7"/>
        <v>0.13457816531248734</v>
      </c>
      <c r="E36" s="13">
        <f t="shared" si="8"/>
        <v>-0.06018518518518518</v>
      </c>
      <c r="F36" s="15">
        <f t="shared" si="9"/>
        <v>0.12037037037037036</v>
      </c>
      <c r="G36" s="13">
        <f t="shared" si="10"/>
        <v>0</v>
      </c>
      <c r="H36" s="15">
        <f t="shared" si="11"/>
        <v>0</v>
      </c>
      <c r="I36" s="38" t="str">
        <f t="shared" si="13"/>
        <v> </v>
      </c>
      <c r="J36" s="39" t="str">
        <f t="shared" si="14"/>
        <v> </v>
      </c>
      <c r="L36" t="s">
        <v>78</v>
      </c>
    </row>
    <row r="37" spans="1:12" ht="12.75">
      <c r="A37" s="57">
        <f t="shared" si="12"/>
        <v>90</v>
      </c>
      <c r="B37" s="1">
        <f>(Thr-Thr)/delTh</f>
        <v>0</v>
      </c>
      <c r="C37" s="1">
        <f>(Tcmax-Tcr)/delTc</f>
        <v>0.5333333333333333</v>
      </c>
      <c r="D37" s="59">
        <f t="shared" si="7"/>
        <v>0.11042310999998961</v>
      </c>
      <c r="E37" s="13">
        <f t="shared" si="8"/>
        <v>-0.04938271604938271</v>
      </c>
      <c r="F37" s="15">
        <f t="shared" si="9"/>
        <v>0.09876543209876543</v>
      </c>
      <c r="G37" s="13">
        <f t="shared" si="10"/>
        <v>0</v>
      </c>
      <c r="H37" s="15">
        <f t="shared" si="11"/>
        <v>0</v>
      </c>
      <c r="I37" s="38" t="str">
        <f t="shared" si="13"/>
        <v> </v>
      </c>
      <c r="J37" s="39" t="str">
        <f t="shared" si="14"/>
        <v> </v>
      </c>
      <c r="L37" t="s">
        <v>79</v>
      </c>
    </row>
    <row r="38" spans="1:10" ht="12.75">
      <c r="A38" s="57">
        <f t="shared" si="12"/>
        <v>126.86989764584402</v>
      </c>
      <c r="B38" s="1">
        <f>0.5*(Thmin-Thr)/delTh</f>
        <v>-0.4</v>
      </c>
      <c r="C38" s="1">
        <f>(Tcmax-Tcr)/delTc</f>
        <v>0.5333333333333333</v>
      </c>
      <c r="D38" s="59">
        <f t="shared" si="7"/>
        <v>0.013802888749998701</v>
      </c>
      <c r="E38" s="13">
        <f t="shared" si="8"/>
        <v>-0.006172839506172839</v>
      </c>
      <c r="F38" s="15">
        <f t="shared" si="9"/>
        <v>0.012345679012345678</v>
      </c>
      <c r="G38" s="13">
        <f t="shared" si="10"/>
        <v>0</v>
      </c>
      <c r="H38" s="15">
        <f t="shared" si="11"/>
        <v>0</v>
      </c>
      <c r="I38" s="38" t="str">
        <f t="shared" si="13"/>
        <v> </v>
      </c>
      <c r="J38" s="39" t="str">
        <f t="shared" si="14"/>
        <v> </v>
      </c>
    </row>
    <row r="39" spans="1:10" ht="12.75">
      <c r="A39" s="57">
        <f t="shared" si="12"/>
        <v>146.3099324740202</v>
      </c>
      <c r="B39" s="1">
        <f>(Thmin-Thr)/delTh</f>
        <v>-0.8</v>
      </c>
      <c r="C39" s="1">
        <f>(Tcmax-Tcr)/delTc</f>
        <v>0.5333333333333333</v>
      </c>
      <c r="D39" s="59">
        <f t="shared" si="7"/>
        <v>0.08281733249999222</v>
      </c>
      <c r="E39" s="13">
        <f t="shared" si="8"/>
        <v>0.037037037037037035</v>
      </c>
      <c r="F39" s="15">
        <f t="shared" si="9"/>
        <v>-0.07407407407407407</v>
      </c>
      <c r="G39" s="13">
        <f t="shared" si="10"/>
        <v>0</v>
      </c>
      <c r="H39" s="15">
        <f t="shared" si="11"/>
        <v>0</v>
      </c>
      <c r="I39" s="38" t="str">
        <f t="shared" si="13"/>
        <v> </v>
      </c>
      <c r="J39" s="39" t="str">
        <f t="shared" si="14"/>
        <v> </v>
      </c>
    </row>
    <row r="40" spans="1:10" ht="12.75">
      <c r="A40" s="57">
        <f t="shared" si="12"/>
        <v>161.56505117707798</v>
      </c>
      <c r="B40" s="1">
        <f>(Thmin-Thr)/delTh</f>
        <v>-0.8</v>
      </c>
      <c r="C40" s="1">
        <f>0.5*(Tcmax-Tcr)/delTc</f>
        <v>0.26666666666666666</v>
      </c>
      <c r="D40" s="59">
        <f t="shared" si="7"/>
        <v>0.138028887499987</v>
      </c>
      <c r="E40" s="13">
        <f t="shared" si="8"/>
        <v>0.06172839506172839</v>
      </c>
      <c r="F40" s="15">
        <f t="shared" si="9"/>
        <v>-0.12345679012345678</v>
      </c>
      <c r="G40" s="13">
        <f t="shared" si="10"/>
        <v>0</v>
      </c>
      <c r="H40" s="15">
        <f t="shared" si="11"/>
        <v>0</v>
      </c>
      <c r="I40" s="38" t="str">
        <f t="shared" si="13"/>
        <v> </v>
      </c>
      <c r="J40" s="39" t="str">
        <f t="shared" si="14"/>
        <v> </v>
      </c>
    </row>
    <row r="41" spans="1:10" ht="12.75">
      <c r="A41" s="57">
        <f t="shared" si="12"/>
        <v>180</v>
      </c>
      <c r="B41" s="1">
        <f>(Thmin-Thr)/delTh</f>
        <v>-0.8</v>
      </c>
      <c r="C41" s="1">
        <f>(Tcr-Tcr)/delTc</f>
        <v>0</v>
      </c>
      <c r="D41" s="59">
        <f t="shared" si="7"/>
        <v>0.19324044249998182</v>
      </c>
      <c r="E41" s="13">
        <f t="shared" si="8"/>
        <v>0.08641975308641975</v>
      </c>
      <c r="F41" s="15">
        <f t="shared" si="9"/>
        <v>-0.1728395061728395</v>
      </c>
      <c r="G41" s="13">
        <f t="shared" si="10"/>
        <v>0</v>
      </c>
      <c r="H41" s="15">
        <f t="shared" si="11"/>
        <v>-1.3877787807814457E-17</v>
      </c>
      <c r="I41" s="38" t="str">
        <f t="shared" si="13"/>
        <v> </v>
      </c>
      <c r="J41" s="39" t="str">
        <f t="shared" si="14"/>
        <v> </v>
      </c>
    </row>
    <row r="42" spans="1:10" ht="12.75">
      <c r="A42" s="57">
        <f t="shared" si="12"/>
        <v>196.260204708312</v>
      </c>
      <c r="B42" s="1">
        <f>(Thmin-Thr)/delTh</f>
        <v>-0.8</v>
      </c>
      <c r="C42" s="1">
        <f>0.5*(Tcmin-Tcr)/delTc</f>
        <v>-0.23333333333333334</v>
      </c>
      <c r="D42" s="59">
        <f t="shared" si="7"/>
        <v>0.24155055312497728</v>
      </c>
      <c r="E42" s="13">
        <f t="shared" si="8"/>
        <v>0.10802469135802469</v>
      </c>
      <c r="F42" s="15">
        <f t="shared" si="9"/>
        <v>-0.21604938271604937</v>
      </c>
      <c r="G42" s="13">
        <f t="shared" si="10"/>
        <v>0</v>
      </c>
      <c r="H42" s="15">
        <f t="shared" si="11"/>
        <v>0</v>
      </c>
      <c r="I42" s="38" t="str">
        <f t="shared" si="13"/>
        <v> </v>
      </c>
      <c r="J42" s="39" t="str">
        <f t="shared" si="14"/>
        <v> </v>
      </c>
    </row>
    <row r="43" spans="1:10" ht="12.75">
      <c r="A43" s="57">
        <f t="shared" si="12"/>
        <v>210.25643716352926</v>
      </c>
      <c r="B43" s="1">
        <f>(Thmin-Thr)/delTh</f>
        <v>-0.8</v>
      </c>
      <c r="C43" s="1">
        <f>(Tcmin-Tcr)/delTc</f>
        <v>-0.4666666666666667</v>
      </c>
      <c r="D43" s="59">
        <f t="shared" si="7"/>
        <v>0.28986066374997277</v>
      </c>
      <c r="E43" s="13">
        <f t="shared" si="8"/>
        <v>0.12962962962962962</v>
      </c>
      <c r="F43" s="15">
        <f t="shared" si="9"/>
        <v>-0.25925925925925924</v>
      </c>
      <c r="G43" s="13">
        <f t="shared" si="10"/>
        <v>0</v>
      </c>
      <c r="H43" s="15">
        <f t="shared" si="11"/>
        <v>0</v>
      </c>
      <c r="I43" s="38" t="str">
        <f t="shared" si="13"/>
        <v> </v>
      </c>
      <c r="J43" s="39" t="str">
        <f t="shared" si="14"/>
        <v> </v>
      </c>
    </row>
    <row r="44" spans="1:10" ht="12.75">
      <c r="A44" s="57">
        <f t="shared" si="12"/>
        <v>229.3987053549955</v>
      </c>
      <c r="B44" s="1">
        <f>0.5*(Thmin-Thr)/delTh</f>
        <v>-0.4</v>
      </c>
      <c r="C44" s="1">
        <f>(Tcmin-Tcr)/delTc</f>
        <v>-0.4666666666666667</v>
      </c>
      <c r="D44" s="59">
        <f t="shared" si="7"/>
        <v>0.19324044249998182</v>
      </c>
      <c r="E44" s="13">
        <f t="shared" si="8"/>
        <v>0.08641975308641975</v>
      </c>
      <c r="F44" s="15">
        <f t="shared" si="9"/>
        <v>-0.1728395061728395</v>
      </c>
      <c r="G44" s="13">
        <f t="shared" si="10"/>
        <v>0</v>
      </c>
      <c r="H44" s="15">
        <f t="shared" si="11"/>
        <v>0</v>
      </c>
      <c r="I44" s="38" t="str">
        <f t="shared" si="13"/>
        <v> </v>
      </c>
      <c r="J44" s="39" t="str">
        <f t="shared" si="14"/>
        <v> </v>
      </c>
    </row>
    <row r="45" spans="1:10" ht="12.75">
      <c r="A45" s="57">
        <f t="shared" si="12"/>
        <v>270</v>
      </c>
      <c r="B45" s="1">
        <f>(Thr-Thr)/delTh</f>
        <v>0</v>
      </c>
      <c r="C45" s="1">
        <f>(Tcmin-Tcr)/delTc</f>
        <v>-0.4666666666666667</v>
      </c>
      <c r="D45" s="59">
        <f t="shared" si="7"/>
        <v>0.09662022124999091</v>
      </c>
      <c r="E45" s="13">
        <f t="shared" si="8"/>
        <v>0.043209876543209874</v>
      </c>
      <c r="F45" s="15">
        <f t="shared" si="9"/>
        <v>-0.08641975308641975</v>
      </c>
      <c r="G45" s="13">
        <f t="shared" si="10"/>
        <v>0</v>
      </c>
      <c r="H45" s="15">
        <f t="shared" si="11"/>
        <v>0</v>
      </c>
      <c r="I45" s="38" t="str">
        <f t="shared" si="13"/>
        <v> </v>
      </c>
      <c r="J45" s="39" t="str">
        <f t="shared" si="14"/>
        <v> </v>
      </c>
    </row>
    <row r="46" spans="1:10" ht="12.75">
      <c r="A46" s="57">
        <f t="shared" si="12"/>
        <v>282.0947570770121</v>
      </c>
      <c r="B46" s="1">
        <f>0.5*(Thmax-Thr)/delTh</f>
        <v>0.1</v>
      </c>
      <c r="C46" s="1">
        <f>(Tcmin-Tcr)/delTc</f>
        <v>-0.4666666666666667</v>
      </c>
      <c r="D46" s="59">
        <f t="shared" si="7"/>
        <v>0.07246516593749319</v>
      </c>
      <c r="E46" s="13">
        <f t="shared" si="8"/>
        <v>0.032407407407407406</v>
      </c>
      <c r="F46" s="15">
        <f t="shared" si="9"/>
        <v>-0.06481481481481481</v>
      </c>
      <c r="G46" s="13">
        <f t="shared" si="10"/>
        <v>0</v>
      </c>
      <c r="H46" s="15">
        <f t="shared" si="11"/>
        <v>0</v>
      </c>
      <c r="I46" s="38" t="str">
        <f t="shared" si="13"/>
        <v> </v>
      </c>
      <c r="J46" s="39" t="str">
        <f t="shared" si="14"/>
        <v> </v>
      </c>
    </row>
    <row r="47" spans="1:10" ht="12.75">
      <c r="A47" s="57">
        <f t="shared" si="12"/>
        <v>293.1985905136482</v>
      </c>
      <c r="B47" s="1">
        <f>(Thmax-Thr)/delTh</f>
        <v>0.2</v>
      </c>
      <c r="C47" s="1">
        <f>(Tcmin-Tcr)/delTc</f>
        <v>-0.4666666666666667</v>
      </c>
      <c r="D47" s="59">
        <f t="shared" si="7"/>
        <v>0.048310110624995455</v>
      </c>
      <c r="E47" s="13">
        <f t="shared" si="8"/>
        <v>0.021604938271604937</v>
      </c>
      <c r="F47" s="15">
        <f t="shared" si="9"/>
        <v>-0.043209876543209874</v>
      </c>
      <c r="G47" s="13">
        <f t="shared" si="10"/>
        <v>0</v>
      </c>
      <c r="H47" s="15">
        <f t="shared" si="11"/>
        <v>0</v>
      </c>
      <c r="I47" s="38" t="str">
        <f t="shared" si="13"/>
        <v> </v>
      </c>
      <c r="J47" s="39" t="str">
        <f t="shared" si="14"/>
        <v> </v>
      </c>
    </row>
    <row r="48" spans="1:10" ht="12.75">
      <c r="A48" s="57">
        <f t="shared" si="12"/>
        <v>310.6012946450045</v>
      </c>
      <c r="B48" s="1">
        <f>(Thmax-Thr)/delTh</f>
        <v>0.2</v>
      </c>
      <c r="C48" s="1">
        <f>0.5*(Tcmin-Tcr)/delTc</f>
        <v>-0.23333333333333334</v>
      </c>
      <c r="D48" s="59">
        <f t="shared" si="7"/>
        <v>0</v>
      </c>
      <c r="E48" s="13">
        <f t="shared" si="8"/>
        <v>0</v>
      </c>
      <c r="F48" s="15">
        <f t="shared" si="9"/>
        <v>0</v>
      </c>
      <c r="G48" s="13">
        <f t="shared" si="10"/>
        <v>0</v>
      </c>
      <c r="H48" s="15">
        <f t="shared" si="11"/>
        <v>0</v>
      </c>
      <c r="I48" s="38" t="str">
        <f t="shared" si="13"/>
        <v> </v>
      </c>
      <c r="J48" s="39" t="str">
        <f t="shared" si="14"/>
        <v> </v>
      </c>
    </row>
    <row r="49" spans="1:10" ht="12.75">
      <c r="A49" s="57">
        <v>360</v>
      </c>
      <c r="B49" s="1">
        <f>B33</f>
        <v>0.2</v>
      </c>
      <c r="C49" s="1">
        <f>C33</f>
        <v>0</v>
      </c>
      <c r="D49" s="60">
        <f>D33</f>
        <v>0.048310110624995455</v>
      </c>
      <c r="E49" s="35">
        <f>E33</f>
        <v>-0.021604938271604937</v>
      </c>
      <c r="F49" s="19">
        <f>F33</f>
        <v>0.043209876543209874</v>
      </c>
      <c r="G49" s="35">
        <f t="shared" si="10"/>
        <v>0</v>
      </c>
      <c r="H49" s="19">
        <f t="shared" si="11"/>
        <v>3.469446951953614E-18</v>
      </c>
      <c r="I49" s="40" t="str">
        <f t="shared" si="13"/>
        <v> </v>
      </c>
      <c r="J49" s="41" t="str">
        <f t="shared" si="14"/>
        <v> </v>
      </c>
    </row>
    <row r="51" spans="1:6" ht="12.75">
      <c r="A51" s="12" t="s">
        <v>44</v>
      </c>
      <c r="C51" t="s">
        <v>52</v>
      </c>
      <c r="F51" t="s">
        <v>97</v>
      </c>
    </row>
    <row r="52" spans="1:12" ht="12.75">
      <c r="A52" s="16" t="s">
        <v>70</v>
      </c>
      <c r="B52" s="22">
        <v>5</v>
      </c>
      <c r="C52" s="16" t="s">
        <v>60</v>
      </c>
      <c r="D52" s="22">
        <v>10</v>
      </c>
      <c r="E52" s="4" t="s">
        <v>3</v>
      </c>
      <c r="F52" s="16" t="s">
        <v>62</v>
      </c>
      <c r="G52" s="11">
        <f>($D$52-Fr)/delF</f>
        <v>0.06666666666666667</v>
      </c>
      <c r="H52" s="16" t="s">
        <v>38</v>
      </c>
      <c r="I52" s="22">
        <v>43</v>
      </c>
      <c r="J52" s="4" t="s">
        <v>4</v>
      </c>
      <c r="K52" s="16" t="s">
        <v>64</v>
      </c>
      <c r="L52" s="18">
        <f>($I$52-Thr)/delTh</f>
        <v>-0.2</v>
      </c>
    </row>
    <row r="53" spans="1:12" ht="12.75">
      <c r="A53" s="17" t="s">
        <v>71</v>
      </c>
      <c r="B53" s="23">
        <v>-5</v>
      </c>
      <c r="C53" s="17" t="s">
        <v>61</v>
      </c>
      <c r="D53" s="23">
        <v>34.1</v>
      </c>
      <c r="E53" s="9" t="s">
        <v>4</v>
      </c>
      <c r="F53" s="17" t="s">
        <v>63</v>
      </c>
      <c r="G53" s="8">
        <f>($D$53-Tr)/delT</f>
        <v>-0.15599999999999994</v>
      </c>
      <c r="H53" s="17" t="s">
        <v>39</v>
      </c>
      <c r="I53" s="23">
        <v>18</v>
      </c>
      <c r="J53" s="9" t="s">
        <v>4</v>
      </c>
      <c r="K53" s="17" t="s">
        <v>65</v>
      </c>
      <c r="L53" s="19">
        <f>($I$53-Tcr)/delTh</f>
        <v>0.2</v>
      </c>
    </row>
    <row r="54" spans="1:2" ht="12.75">
      <c r="A54" s="20" t="s">
        <v>51</v>
      </c>
      <c r="B54" s="1">
        <f>1+delFh/delF*KCF+(Tcr-Tr)/Fr*delFc/delT*KCT+(Tcr-Thr)/Fr*delFc/delF*delFh/delT*KCF*KCT</f>
        <v>22.2</v>
      </c>
    </row>
    <row r="55" spans="1:2" ht="12.75">
      <c r="A55" s="20" t="s">
        <v>53</v>
      </c>
      <c r="B55" s="1">
        <f>(delFh/delF*KCF+(Tcr-Thr)/Fr*delFc/delF*delFh/delT*KCF*KCT)/$B$54</f>
        <v>0.8288288288288288</v>
      </c>
    </row>
    <row r="56" spans="1:7" ht="12.75">
      <c r="A56" s="20" t="s">
        <v>54</v>
      </c>
      <c r="B56" s="1">
        <f>(delFc/delF*KCT)/$B$54</f>
        <v>-0.0900900900900901</v>
      </c>
      <c r="C56" s="16" t="s">
        <v>22</v>
      </c>
      <c r="D56" s="25">
        <f>G56*delF+Fr</f>
        <v>10.033633633633633</v>
      </c>
      <c r="E56" s="4" t="s">
        <v>3</v>
      </c>
      <c r="F56" s="16" t="s">
        <v>66</v>
      </c>
      <c r="G56" s="4">
        <f>floFsp*$G$52+floTsp*$G$53+floTh*$L$52+floTc*$L$53</f>
        <v>0.0689089089089089</v>
      </c>
    </row>
    <row r="57" spans="1:7" ht="12.75">
      <c r="A57" s="20" t="s">
        <v>55</v>
      </c>
      <c r="B57" s="1">
        <f>(-Fhr/Fr*delFc/delF*delTh/delT*KCT)/$B$54</f>
        <v>0.014014014014014014</v>
      </c>
      <c r="C57" s="17" t="s">
        <v>23</v>
      </c>
      <c r="D57" s="26">
        <f>G57*delT+Tr</f>
        <v>35.07347347347348</v>
      </c>
      <c r="E57" s="9" t="s">
        <v>4</v>
      </c>
      <c r="F57" s="17" t="s">
        <v>67</v>
      </c>
      <c r="G57" s="9">
        <f>temFsp*$G$52+temTsp*$G$53+temTh*$L$52+temTc*$L$53</f>
        <v>-0.11706106106106101</v>
      </c>
    </row>
    <row r="58" spans="1:2" ht="12.75">
      <c r="A58" s="20" t="s">
        <v>56</v>
      </c>
      <c r="B58" s="1">
        <f>(-Fcr/Fr*delFc/delF*delTc/delT*KCT)/$B$54</f>
        <v>0.012012012012012012</v>
      </c>
    </row>
    <row r="59" spans="1:9" ht="12.75">
      <c r="A59" s="20" t="s">
        <v>57</v>
      </c>
      <c r="B59" s="1">
        <f>((Thr-Tr)/Fr*delFh/delT*KCF)/$B$54</f>
        <v>0.07207207207207207</v>
      </c>
      <c r="I59" t="s">
        <v>140</v>
      </c>
    </row>
    <row r="60" spans="1:9" ht="12.75">
      <c r="A60" s="20" t="s">
        <v>58</v>
      </c>
      <c r="B60" s="1">
        <f>((Tcr-Tr)/Fr*delFc/delT*KCT+(Tcr-Thr)/Fr*delFc/delF*delFh/delT*KCF*KCT)/$B$54</f>
        <v>0.7747747747747747</v>
      </c>
      <c r="I60" t="s">
        <v>141</v>
      </c>
    </row>
    <row r="61" spans="1:9" ht="12.75">
      <c r="A61" s="20" t="s">
        <v>59</v>
      </c>
      <c r="B61" s="1">
        <f>(Fhr/Fr*delTh/delT*(1+delFh/delF*KCF))/$B$54</f>
        <v>0.035035035035035036</v>
      </c>
      <c r="I61" t="s">
        <v>142</v>
      </c>
    </row>
    <row r="62" spans="1:2" ht="12.75">
      <c r="A62" s="20" t="s">
        <v>100</v>
      </c>
      <c r="B62" s="1">
        <f>(Fcr/Fr*delTc/delT*(1+delFh/delF*KCF))/$B$54</f>
        <v>0.03003003003003003</v>
      </c>
    </row>
    <row r="64" spans="1:7" ht="12.75">
      <c r="A64" s="48" t="s">
        <v>99</v>
      </c>
      <c r="D64" s="16" t="s">
        <v>62</v>
      </c>
      <c r="E64" s="46">
        <v>0</v>
      </c>
      <c r="F64" s="16" t="s">
        <v>64</v>
      </c>
      <c r="G64" s="46">
        <v>-0.25</v>
      </c>
    </row>
    <row r="65" spans="4:7" ht="12.75">
      <c r="D65" s="17" t="s">
        <v>63</v>
      </c>
      <c r="E65" s="47">
        <v>0.1</v>
      </c>
      <c r="F65" s="17" t="s">
        <v>65</v>
      </c>
      <c r="G65" s="47">
        <v>-0.1</v>
      </c>
    </row>
    <row r="66" ht="12.75">
      <c r="B66" t="s">
        <v>101</v>
      </c>
    </row>
    <row r="67" spans="2:5" ht="12.75">
      <c r="B67" s="50">
        <v>25</v>
      </c>
      <c r="C67" s="52" t="s">
        <v>71</v>
      </c>
      <c r="D67" s="53">
        <v>-25</v>
      </c>
      <c r="E67" t="s">
        <v>97</v>
      </c>
    </row>
    <row r="68" spans="2:13" ht="12.75">
      <c r="B68" s="51" t="s">
        <v>70</v>
      </c>
      <c r="C68" s="57">
        <v>0</v>
      </c>
      <c r="D68" s="57">
        <f>-(ABS(KCTmax)^(1/10))</f>
        <v>-1.379729661461215</v>
      </c>
      <c r="E68" s="57">
        <f aca="true" t="shared" si="15" ref="E68:M68">D68*ABS(KCTmax)^(1/10)</f>
        <v>-1.9036539387158786</v>
      </c>
      <c r="F68" s="57">
        <f t="shared" si="15"/>
        <v>-2.6265278044037674</v>
      </c>
      <c r="G68" s="57">
        <f t="shared" si="15"/>
        <v>-3.6238983183884783</v>
      </c>
      <c r="H68" s="57">
        <f t="shared" si="15"/>
        <v>-5.000000000000001</v>
      </c>
      <c r="I68" s="57">
        <f t="shared" si="15"/>
        <v>-6.898648307306075</v>
      </c>
      <c r="J68" s="57">
        <f t="shared" si="15"/>
        <v>-9.518269693579395</v>
      </c>
      <c r="K68" s="57">
        <f t="shared" si="15"/>
        <v>-13.13263902201884</v>
      </c>
      <c r="L68" s="57">
        <f t="shared" si="15"/>
        <v>-18.119491591942392</v>
      </c>
      <c r="M68" s="57">
        <f t="shared" si="15"/>
        <v>-25.000000000000007</v>
      </c>
    </row>
    <row r="69" spans="1:13" ht="12.75">
      <c r="A69" s="1">
        <v>1</v>
      </c>
      <c r="B69" s="57">
        <v>0</v>
      </c>
      <c r="C69" s="34">
        <f aca="true" t="shared" si="16" ref="C69:M79">((delFh/delF*$B69+(Tcr-Thr)/Fr*delFc/delF*delFh/delT*$B69*C$68)*$E$64+(delFc/delF*C$68)*$E$65+(-Fhr/Fr*delFc/delF*delTh/delT*C$68)*$G$64+(-Fcr/Fr*delFc/delF*delTc/delT*C$68)*$G$65)/(1+delFh/delF*$B69+(Tcr-Tr)/Fr*delFc/delT*C$68+(Tcr-Thr)/Fr*delFc/delF*delFh/delT*$B69*C$68)</f>
        <v>0</v>
      </c>
      <c r="D69" s="11">
        <f t="shared" si="16"/>
        <v>-0.047392475620756484</v>
      </c>
      <c r="E69" s="11">
        <f t="shared" si="16"/>
        <v>-0.05610299171366634</v>
      </c>
      <c r="F69" s="11">
        <f t="shared" si="16"/>
        <v>-0.06472509423760017</v>
      </c>
      <c r="G69" s="11">
        <f t="shared" si="16"/>
        <v>-0.07283830991548197</v>
      </c>
      <c r="H69" s="11">
        <f t="shared" si="16"/>
        <v>-0.08011695906432749</v>
      </c>
      <c r="I69" s="11">
        <f t="shared" si="16"/>
        <v>-0.08637261715439888</v>
      </c>
      <c r="J69" s="11">
        <f t="shared" si="16"/>
        <v>-0.09155382531637427</v>
      </c>
      <c r="K69" s="11">
        <f t="shared" si="16"/>
        <v>-0.09571525060140564</v>
      </c>
      <c r="L69" s="11">
        <f t="shared" si="16"/>
        <v>-0.09897587641196531</v>
      </c>
      <c r="M69" s="18">
        <f t="shared" si="16"/>
        <v>-0.10148148148148148</v>
      </c>
    </row>
    <row r="70" spans="1:18" ht="12.75">
      <c r="A70" s="1">
        <v>2</v>
      </c>
      <c r="B70" s="57">
        <f>KCFmax^(1/10)</f>
        <v>1.379729661461215</v>
      </c>
      <c r="C70" s="13">
        <f t="shared" si="16"/>
        <v>0</v>
      </c>
      <c r="D70" s="7">
        <f t="shared" si="16"/>
        <v>-0.021145617430674037</v>
      </c>
      <c r="E70" s="7">
        <f t="shared" si="16"/>
        <v>-0.024753054190928915</v>
      </c>
      <c r="F70" s="7">
        <f t="shared" si="16"/>
        <v>-0.028245536209030066</v>
      </c>
      <c r="G70" s="7">
        <f t="shared" si="16"/>
        <v>-0.031462982236117355</v>
      </c>
      <c r="H70" s="7">
        <f t="shared" si="16"/>
        <v>-0.03429430550448493</v>
      </c>
      <c r="I70" s="7">
        <f t="shared" si="16"/>
        <v>-0.03668712095147133</v>
      </c>
      <c r="J70" s="7">
        <f t="shared" si="16"/>
        <v>-0.038641207900392924</v>
      </c>
      <c r="K70" s="7">
        <f t="shared" si="16"/>
        <v>-0.040192825842943376</v>
      </c>
      <c r="L70" s="7">
        <f t="shared" si="16"/>
        <v>-0.04139762748473493</v>
      </c>
      <c r="M70" s="15">
        <f t="shared" si="16"/>
        <v>-0.042316992131205926</v>
      </c>
      <c r="N70" s="7"/>
      <c r="O70" s="7"/>
      <c r="P70" s="7"/>
      <c r="R70" t="s">
        <v>103</v>
      </c>
    </row>
    <row r="71" spans="1:29" ht="12.75">
      <c r="A71" s="1">
        <v>3</v>
      </c>
      <c r="B71" s="57">
        <f aca="true" t="shared" si="17" ref="B71:B79">B70*KCFmax^(1/10)</f>
        <v>1.9036539387158786</v>
      </c>
      <c r="C71" s="13">
        <f t="shared" si="16"/>
        <v>0</v>
      </c>
      <c r="D71" s="7">
        <f t="shared" si="16"/>
        <v>-0.01747136291560988</v>
      </c>
      <c r="E71" s="7">
        <f t="shared" si="16"/>
        <v>-0.020420108659109034</v>
      </c>
      <c r="F71" s="7">
        <f t="shared" si="16"/>
        <v>-0.023266148959249982</v>
      </c>
      <c r="G71" s="7">
        <f t="shared" si="16"/>
        <v>-0.025880484976888836</v>
      </c>
      <c r="H71" s="7">
        <f t="shared" si="16"/>
        <v>-0.028175091570730355</v>
      </c>
      <c r="I71" s="7">
        <f t="shared" si="16"/>
        <v>-0.03010996269570071</v>
      </c>
      <c r="J71" s="7">
        <f t="shared" si="16"/>
        <v>-0.0316871217706194</v>
      </c>
      <c r="K71" s="7">
        <f t="shared" si="16"/>
        <v>-0.03293756138200571</v>
      </c>
      <c r="L71" s="7">
        <f t="shared" si="16"/>
        <v>-0.033907356196663505</v>
      </c>
      <c r="M71" s="15">
        <f t="shared" si="16"/>
        <v>-0.03464671714013101</v>
      </c>
      <c r="N71" s="7"/>
      <c r="O71" s="7"/>
      <c r="P71" s="7"/>
      <c r="R71" s="27">
        <f>VLOOKUP('simulation plots'!$M$12,$A$69:$M$79,3)</f>
        <v>0</v>
      </c>
      <c r="S71" s="27">
        <f>VLOOKUP('simulation plots'!$M$12,$A$69:$M$79,4)</f>
        <v>-0.047392475620756484</v>
      </c>
      <c r="T71" s="27">
        <f>VLOOKUP('simulation plots'!$M$12,$A$69:$M$79,5)</f>
        <v>-0.05610299171366634</v>
      </c>
      <c r="U71" s="27">
        <f>VLOOKUP('simulation plots'!$M$12,$A$69:$M$79,6)</f>
        <v>-0.06472509423760017</v>
      </c>
      <c r="V71" s="27">
        <f>VLOOKUP('simulation plots'!$M$12,$A$69:$M$79,7)</f>
        <v>-0.07283830991548197</v>
      </c>
      <c r="W71" s="27">
        <f>VLOOKUP('simulation plots'!$M$12,$A$69:$M$79,8)</f>
        <v>-0.08011695906432749</v>
      </c>
      <c r="X71" s="27">
        <f>VLOOKUP('simulation plots'!$M$12,$A$69:$M$79,9)</f>
        <v>-0.08637261715439888</v>
      </c>
      <c r="Y71" s="27">
        <f>VLOOKUP('simulation plots'!$M$12,$A$69:$M$79,10)</f>
        <v>-0.09155382531637427</v>
      </c>
      <c r="Z71" s="27">
        <f>VLOOKUP('simulation plots'!$M$12,$A$69:$M$79,11)</f>
        <v>-0.09571525060140564</v>
      </c>
      <c r="AA71" s="27">
        <f>VLOOKUP('simulation plots'!$M$12,$A$69:$M$79,12)</f>
        <v>-0.09897587641196531</v>
      </c>
      <c r="AB71" s="27">
        <f>VLOOKUP('simulation plots'!$M$12,$A$69:$M$79,13)</f>
        <v>-0.10148148148148148</v>
      </c>
      <c r="AC71" s="27"/>
    </row>
    <row r="72" spans="1:16" ht="12.75">
      <c r="A72" s="1">
        <v>4</v>
      </c>
      <c r="B72" s="57">
        <f t="shared" si="17"/>
        <v>2.6265278044037674</v>
      </c>
      <c r="C72" s="13">
        <f t="shared" si="16"/>
        <v>0</v>
      </c>
      <c r="D72" s="7">
        <f t="shared" si="16"/>
        <v>-0.014092748891721293</v>
      </c>
      <c r="E72" s="7">
        <f t="shared" si="16"/>
        <v>-0.016447702254120993</v>
      </c>
      <c r="F72" s="7">
        <f t="shared" si="16"/>
        <v>-0.018714250896651116</v>
      </c>
      <c r="G72" s="7">
        <f t="shared" si="16"/>
        <v>-0.020790772393985864</v>
      </c>
      <c r="H72" s="7">
        <f t="shared" si="16"/>
        <v>-0.022609014065960383</v>
      </c>
      <c r="I72" s="7">
        <f t="shared" si="16"/>
        <v>-0.02413907078522581</v>
      </c>
      <c r="J72" s="7">
        <f t="shared" si="16"/>
        <v>-0.02538414260731406</v>
      </c>
      <c r="K72" s="7">
        <f t="shared" si="16"/>
        <v>-0.02636994314049121</v>
      </c>
      <c r="L72" s="7">
        <f t="shared" si="16"/>
        <v>-0.027133675470286583</v>
      </c>
      <c r="M72" s="15">
        <f t="shared" si="16"/>
        <v>-0.02771545713116338</v>
      </c>
      <c r="N72" s="7"/>
      <c r="O72" s="7"/>
      <c r="P72" s="7"/>
    </row>
    <row r="73" spans="1:18" ht="12.75">
      <c r="A73" s="1">
        <v>5</v>
      </c>
      <c r="B73" s="57">
        <f t="shared" si="17"/>
        <v>3.6238983183884783</v>
      </c>
      <c r="C73" s="13">
        <f t="shared" si="16"/>
        <v>0</v>
      </c>
      <c r="D73" s="7">
        <f t="shared" si="16"/>
        <v>-0.011124575626335915</v>
      </c>
      <c r="E73" s="7">
        <f t="shared" si="16"/>
        <v>-0.012967238443399063</v>
      </c>
      <c r="F73" s="7">
        <f t="shared" si="16"/>
        <v>-0.014736364475904746</v>
      </c>
      <c r="G73" s="7">
        <f t="shared" si="16"/>
        <v>-0.016353423858874585</v>
      </c>
      <c r="H73" s="7">
        <f t="shared" si="16"/>
        <v>-0.017766421987464354</v>
      </c>
      <c r="I73" s="7">
        <f t="shared" si="16"/>
        <v>-0.018953351444406612</v>
      </c>
      <c r="J73" s="7">
        <f t="shared" si="16"/>
        <v>-0.01991778421076202</v>
      </c>
      <c r="K73" s="7">
        <f t="shared" si="16"/>
        <v>-0.02068048219985312</v>
      </c>
      <c r="L73" s="7">
        <f t="shared" si="16"/>
        <v>-0.021270821702125863</v>
      </c>
      <c r="M73" s="15">
        <f t="shared" si="16"/>
        <v>-0.021720198846304845</v>
      </c>
      <c r="N73" s="7"/>
      <c r="O73" s="7"/>
      <c r="P73" s="7"/>
      <c r="R73" t="s">
        <v>104</v>
      </c>
    </row>
    <row r="74" spans="1:28" ht="12.75">
      <c r="A74" s="1">
        <v>6</v>
      </c>
      <c r="B74" s="57">
        <f t="shared" si="17"/>
        <v>5.000000000000001</v>
      </c>
      <c r="C74" s="13">
        <f t="shared" si="16"/>
        <v>0</v>
      </c>
      <c r="D74" s="7">
        <f t="shared" si="16"/>
        <v>-0.008619728957647253</v>
      </c>
      <c r="E74" s="7">
        <f t="shared" si="16"/>
        <v>-0.010036859774167507</v>
      </c>
      <c r="F74" s="7">
        <f t="shared" si="16"/>
        <v>-0.011394616789784288</v>
      </c>
      <c r="G74" s="7">
        <f t="shared" si="16"/>
        <v>-0.01263325812145841</v>
      </c>
      <c r="H74" s="7">
        <f t="shared" si="16"/>
        <v>-0.013713713713713714</v>
      </c>
      <c r="I74" s="7">
        <f t="shared" si="16"/>
        <v>-0.014619954428782708</v>
      </c>
      <c r="J74" s="7">
        <f t="shared" si="16"/>
        <v>-0.015355409048316709</v>
      </c>
      <c r="K74" s="7">
        <f t="shared" si="16"/>
        <v>-0.015936450975352453</v>
      </c>
      <c r="L74" s="7">
        <f t="shared" si="16"/>
        <v>-0.016385838222174712</v>
      </c>
      <c r="M74" s="15">
        <f t="shared" si="16"/>
        <v>-0.016727716727716727</v>
      </c>
      <c r="N74" s="7"/>
      <c r="O74" s="7"/>
      <c r="P74" s="7"/>
      <c r="R74" s="27">
        <f>VLOOKUP('simulation plots'!$M$12,$A$85:$M$95,3)</f>
        <v>-0.052222222222222225</v>
      </c>
      <c r="S74" s="27">
        <f>VLOOKUP('simulation plots'!$M$12,$A$85:$M$95,4)</f>
        <v>0.014127243646836849</v>
      </c>
      <c r="T74" s="27">
        <f>VLOOKUP('simulation plots'!$M$12,$A$85:$M$95,5)</f>
        <v>0.02632196617691064</v>
      </c>
      <c r="U74" s="27">
        <f>VLOOKUP('simulation plots'!$M$12,$A$85:$M$95,6)</f>
        <v>0.03839290971041802</v>
      </c>
      <c r="V74" s="27">
        <f>VLOOKUP('simulation plots'!$M$12,$A$85:$M$95,7)</f>
        <v>0.04975141165945253</v>
      </c>
      <c r="W74" s="27">
        <f>VLOOKUP('simulation plots'!$M$12,$A$85:$M$95,8)</f>
        <v>0.05994152046783627</v>
      </c>
      <c r="X74" s="27">
        <f>VLOOKUP('simulation plots'!$M$12,$A$85:$M$95,9)</f>
        <v>0.06869944179393625</v>
      </c>
      <c r="Y74" s="27">
        <f>VLOOKUP('simulation plots'!$M$12,$A$85:$M$95,10)</f>
        <v>0.07595313322070177</v>
      </c>
      <c r="Z74" s="27">
        <f>VLOOKUP('simulation plots'!$M$12,$A$85:$M$95,11)</f>
        <v>0.08177912861974569</v>
      </c>
      <c r="AA74" s="27">
        <f>VLOOKUP('simulation plots'!$M$12,$A$85:$M$95,12)</f>
        <v>0.08634400475452922</v>
      </c>
      <c r="AB74" s="27">
        <f>VLOOKUP('simulation plots'!$M$12,$A$85:$M$95,13)</f>
        <v>0.08985185185185185</v>
      </c>
    </row>
    <row r="75" spans="1:13" ht="12.75">
      <c r="A75" s="1">
        <v>7</v>
      </c>
      <c r="B75" s="57">
        <f t="shared" si="17"/>
        <v>6.898648307306075</v>
      </c>
      <c r="C75" s="13">
        <f t="shared" si="16"/>
        <v>0</v>
      </c>
      <c r="D75" s="7">
        <f t="shared" si="16"/>
        <v>-0.00657660953609978</v>
      </c>
      <c r="E75" s="7">
        <f t="shared" si="16"/>
        <v>-0.007651236451604394</v>
      </c>
      <c r="F75" s="7">
        <f t="shared" si="16"/>
        <v>-0.008679102369789827</v>
      </c>
      <c r="G75" s="7">
        <f t="shared" si="16"/>
        <v>-0.009615314671113843</v>
      </c>
      <c r="H75" s="7">
        <f t="shared" si="16"/>
        <v>-0.010430814254055426</v>
      </c>
      <c r="I75" s="7">
        <f t="shared" si="16"/>
        <v>-0.011113996374044786</v>
      </c>
      <c r="J75" s="7">
        <f t="shared" si="16"/>
        <v>-0.011667876928841445</v>
      </c>
      <c r="K75" s="7">
        <f t="shared" si="16"/>
        <v>-0.012105117942156856</v>
      </c>
      <c r="L75" s="7">
        <f t="shared" si="16"/>
        <v>-0.012443075999766852</v>
      </c>
      <c r="M75" s="15">
        <f t="shared" si="16"/>
        <v>-0.012700059678061286</v>
      </c>
    </row>
    <row r="76" spans="1:13" ht="12.75">
      <c r="A76" s="1">
        <v>8</v>
      </c>
      <c r="B76" s="57">
        <f t="shared" si="17"/>
        <v>9.518269693579395</v>
      </c>
      <c r="C76" s="13">
        <f t="shared" si="16"/>
        <v>0</v>
      </c>
      <c r="D76" s="7">
        <f t="shared" si="16"/>
        <v>-0.004955867687272347</v>
      </c>
      <c r="E76" s="7">
        <f t="shared" si="16"/>
        <v>-0.005761721678105352</v>
      </c>
      <c r="F76" s="7">
        <f t="shared" si="16"/>
        <v>-0.006531479730205494</v>
      </c>
      <c r="G76" s="7">
        <f t="shared" si="16"/>
        <v>-0.007231724434225857</v>
      </c>
      <c r="H76" s="7">
        <f t="shared" si="16"/>
        <v>-0.007841002952272594</v>
      </c>
      <c r="I76" s="7">
        <f t="shared" si="16"/>
        <v>-0.008350938492239507</v>
      </c>
      <c r="J76" s="7">
        <f t="shared" si="16"/>
        <v>-0.008764037238745293</v>
      </c>
      <c r="K76" s="7">
        <f t="shared" si="16"/>
        <v>-0.009089938106987829</v>
      </c>
      <c r="L76" s="7">
        <f t="shared" si="16"/>
        <v>-0.009341713835822543</v>
      </c>
      <c r="M76" s="15">
        <f t="shared" si="16"/>
        <v>-0.009533092150570301</v>
      </c>
    </row>
    <row r="77" spans="1:13" ht="12.75">
      <c r="A77" s="1">
        <v>9</v>
      </c>
      <c r="B77" s="57">
        <f t="shared" si="17"/>
        <v>13.13263902201884</v>
      </c>
      <c r="C77" s="13">
        <f t="shared" si="16"/>
        <v>0</v>
      </c>
      <c r="D77" s="7">
        <f t="shared" si="16"/>
        <v>-0.003698350657146585</v>
      </c>
      <c r="E77" s="7">
        <f t="shared" si="16"/>
        <v>-0.004297445374438372</v>
      </c>
      <c r="F77" s="7">
        <f t="shared" si="16"/>
        <v>-0.004869112490625953</v>
      </c>
      <c r="G77" s="7">
        <f t="shared" si="16"/>
        <v>-0.005388652533652598</v>
      </c>
      <c r="H77" s="7">
        <f t="shared" si="16"/>
        <v>-0.005840312167349505</v>
      </c>
      <c r="I77" s="7">
        <f t="shared" si="16"/>
        <v>-0.006218050761377298</v>
      </c>
      <c r="J77" s="7">
        <f t="shared" si="16"/>
        <v>-0.0065238713248890225</v>
      </c>
      <c r="K77" s="7">
        <f t="shared" si="16"/>
        <v>-0.006765021511395847</v>
      </c>
      <c r="L77" s="7">
        <f t="shared" si="16"/>
        <v>-0.00695125220491559</v>
      </c>
      <c r="M77" s="15">
        <f t="shared" si="16"/>
        <v>-0.007092767639804022</v>
      </c>
    </row>
    <row r="78" spans="1:13" ht="12.75">
      <c r="A78" s="1">
        <v>10</v>
      </c>
      <c r="B78" s="57">
        <f t="shared" si="17"/>
        <v>18.119491591942392</v>
      </c>
      <c r="C78" s="13">
        <f t="shared" si="16"/>
        <v>0</v>
      </c>
      <c r="D78" s="7">
        <f t="shared" si="16"/>
        <v>-0.002739322533429004</v>
      </c>
      <c r="E78" s="7">
        <f t="shared" si="16"/>
        <v>-0.003181778188480746</v>
      </c>
      <c r="F78" s="7">
        <f t="shared" si="16"/>
        <v>-0.0036036441421730897</v>
      </c>
      <c r="G78" s="7">
        <f t="shared" si="16"/>
        <v>-0.003986760526923715</v>
      </c>
      <c r="H78" s="7">
        <f t="shared" si="16"/>
        <v>-0.0043196029342338176</v>
      </c>
      <c r="I78" s="7">
        <f t="shared" si="16"/>
        <v>-0.004597815024370758</v>
      </c>
      <c r="J78" s="7">
        <f t="shared" si="16"/>
        <v>-0.0048229543287997565</v>
      </c>
      <c r="K78" s="7">
        <f t="shared" si="16"/>
        <v>-0.005000419132162074</v>
      </c>
      <c r="L78" s="7">
        <f t="shared" si="16"/>
        <v>-0.005137428697751268</v>
      </c>
      <c r="M78" s="15">
        <f t="shared" si="16"/>
        <v>-0.005241518358127311</v>
      </c>
    </row>
    <row r="79" spans="1:13" ht="12.75">
      <c r="A79" s="1">
        <v>11</v>
      </c>
      <c r="B79" s="57">
        <f t="shared" si="17"/>
        <v>25.000000000000007</v>
      </c>
      <c r="C79" s="35">
        <f t="shared" si="16"/>
        <v>0</v>
      </c>
      <c r="D79" s="8">
        <f t="shared" si="16"/>
        <v>-0.002017499552292614</v>
      </c>
      <c r="E79" s="8">
        <f t="shared" si="16"/>
        <v>-0.0023426537078681197</v>
      </c>
      <c r="F79" s="8">
        <f t="shared" si="16"/>
        <v>-0.002652492689486301</v>
      </c>
      <c r="G79" s="8">
        <f t="shared" si="16"/>
        <v>-0.0029337165106357007</v>
      </c>
      <c r="H79" s="8">
        <f t="shared" si="16"/>
        <v>-0.003177916956622593</v>
      </c>
      <c r="I79" s="8">
        <f t="shared" si="16"/>
        <v>-0.0033819504908819253</v>
      </c>
      <c r="J79" s="8">
        <f t="shared" si="16"/>
        <v>-0.003547004766682587</v>
      </c>
      <c r="K79" s="8">
        <f t="shared" si="16"/>
        <v>-0.0036770719268356044</v>
      </c>
      <c r="L79" s="8">
        <f t="shared" si="16"/>
        <v>-0.0037774670388494064</v>
      </c>
      <c r="M79" s="19">
        <f t="shared" si="16"/>
        <v>-0.0038537271448663853</v>
      </c>
    </row>
    <row r="82" ht="12.75">
      <c r="B82" t="s">
        <v>102</v>
      </c>
    </row>
    <row r="83" spans="2:4" ht="12.75">
      <c r="B83" s="27"/>
      <c r="C83" s="24" t="s">
        <v>71</v>
      </c>
      <c r="D83" s="27"/>
    </row>
    <row r="84" spans="2:13" ht="12.75">
      <c r="B84" s="7" t="s">
        <v>70</v>
      </c>
      <c r="C84" s="57">
        <v>0</v>
      </c>
      <c r="D84" s="57">
        <f>-(ABS(KCTmax)^(1/10))</f>
        <v>-1.379729661461215</v>
      </c>
      <c r="E84" s="57">
        <f aca="true" t="shared" si="18" ref="E84:M84">D84*ABS(KCTmax)^(1/10)</f>
        <v>-1.9036539387158786</v>
      </c>
      <c r="F84" s="57">
        <f t="shared" si="18"/>
        <v>-2.6265278044037674</v>
      </c>
      <c r="G84" s="57">
        <f t="shared" si="18"/>
        <v>-3.6238983183884783</v>
      </c>
      <c r="H84" s="57">
        <f t="shared" si="18"/>
        <v>-5.000000000000001</v>
      </c>
      <c r="I84" s="57">
        <f t="shared" si="18"/>
        <v>-6.898648307306075</v>
      </c>
      <c r="J84" s="57">
        <f t="shared" si="18"/>
        <v>-9.518269693579395</v>
      </c>
      <c r="K84" s="57">
        <f t="shared" si="18"/>
        <v>-13.13263902201884</v>
      </c>
      <c r="L84" s="57">
        <f t="shared" si="18"/>
        <v>-18.119491591942392</v>
      </c>
      <c r="M84" s="57">
        <f t="shared" si="18"/>
        <v>-25.000000000000007</v>
      </c>
    </row>
    <row r="85" spans="1:13" ht="12.75">
      <c r="A85" s="1">
        <v>1</v>
      </c>
      <c r="B85" s="57">
        <v>0</v>
      </c>
      <c r="C85" s="34">
        <f aca="true" t="shared" si="19" ref="C85:M95">(((Thr-Tr)/Fr*delFh/delT*$B85)*$E$64+((Tcr-Tr)/Fr*delFc/delT*C$84+(Tcr-Thr)/Fr*delFc/delF*delFh/delT*$B85*C$84)*$E$65+(Fhr/Fr*delTh/delT*(1+delFh/delF*$B85))*$G$64+(Fcr/Fr*delTc/delT*(1+delFh/delF*$B85))*$G$65)/(1+delFh/delF*$B85+(Tcr-Tr)/Fr*delFc/delT*C$84+(Tcr-Thr)/Fr*delFc/delF*delFh/delT*$B85*C$84)</f>
        <v>-0.052222222222222225</v>
      </c>
      <c r="D85" s="11">
        <f t="shared" si="19"/>
        <v>0.014127243646836849</v>
      </c>
      <c r="E85" s="11">
        <f t="shared" si="19"/>
        <v>0.02632196617691064</v>
      </c>
      <c r="F85" s="11">
        <f t="shared" si="19"/>
        <v>0.03839290971041802</v>
      </c>
      <c r="G85" s="11">
        <f t="shared" si="19"/>
        <v>0.04975141165945253</v>
      </c>
      <c r="H85" s="11">
        <f t="shared" si="19"/>
        <v>0.05994152046783627</v>
      </c>
      <c r="I85" s="11">
        <f t="shared" si="19"/>
        <v>0.06869944179393625</v>
      </c>
      <c r="J85" s="11">
        <f t="shared" si="19"/>
        <v>0.07595313322070177</v>
      </c>
      <c r="K85" s="11">
        <f t="shared" si="19"/>
        <v>0.08177912861974569</v>
      </c>
      <c r="L85" s="11">
        <f t="shared" si="19"/>
        <v>0.08634400475452922</v>
      </c>
      <c r="M85" s="18">
        <f t="shared" si="19"/>
        <v>0.08985185185185185</v>
      </c>
    </row>
    <row r="86" spans="1:13" ht="12.75">
      <c r="A86" s="1">
        <v>2</v>
      </c>
      <c r="B86" s="57">
        <f>KCFmax^(1/10)</f>
        <v>1.379729661461215</v>
      </c>
      <c r="C86" s="13">
        <f t="shared" si="19"/>
        <v>-0.05222222222222222</v>
      </c>
      <c r="D86" s="7">
        <f t="shared" si="19"/>
        <v>0.01939398141449906</v>
      </c>
      <c r="E86" s="7">
        <f t="shared" si="19"/>
        <v>0.03161168687881155</v>
      </c>
      <c r="F86" s="7">
        <f t="shared" si="19"/>
        <v>0.043440062390944646</v>
      </c>
      <c r="G86" s="7">
        <f t="shared" si="19"/>
        <v>0.05433694306238779</v>
      </c>
      <c r="H86" s="7">
        <f t="shared" si="19"/>
        <v>0.06392609903825734</v>
      </c>
      <c r="I86" s="7">
        <f t="shared" si="19"/>
        <v>0.0720301120271563</v>
      </c>
      <c r="J86" s="7">
        <f t="shared" si="19"/>
        <v>0.07864823463892849</v>
      </c>
      <c r="K86" s="7">
        <f t="shared" si="19"/>
        <v>0.08390327090847202</v>
      </c>
      <c r="L86" s="7">
        <f t="shared" si="19"/>
        <v>0.08798370601533424</v>
      </c>
      <c r="M86" s="15">
        <f t="shared" si="19"/>
        <v>0.09109742004869976</v>
      </c>
    </row>
    <row r="87" spans="1:13" ht="12.75">
      <c r="A87" s="1">
        <v>3</v>
      </c>
      <c r="B87" s="57">
        <f aca="true" t="shared" si="20" ref="B87:B95">B86*KCFmax^(1/10)</f>
        <v>1.9036539387158786</v>
      </c>
      <c r="C87" s="13">
        <f t="shared" si="19"/>
        <v>-0.052222222222222225</v>
      </c>
      <c r="D87" s="7">
        <f t="shared" si="19"/>
        <v>0.0201312633734424</v>
      </c>
      <c r="E87" s="7">
        <f t="shared" si="19"/>
        <v>0.03234279110073395</v>
      </c>
      <c r="F87" s="7">
        <f t="shared" si="19"/>
        <v>0.04412898871196599</v>
      </c>
      <c r="G87" s="7">
        <f t="shared" si="19"/>
        <v>0.05495563825889157</v>
      </c>
      <c r="H87" s="7">
        <f t="shared" si="19"/>
        <v>0.06445820459771429</v>
      </c>
      <c r="I87" s="7">
        <f t="shared" si="19"/>
        <v>0.07247101222733149</v>
      </c>
      <c r="J87" s="7">
        <f t="shared" si="19"/>
        <v>0.07900244065454629</v>
      </c>
      <c r="K87" s="7">
        <f t="shared" si="19"/>
        <v>0.08418083829001947</v>
      </c>
      <c r="L87" s="7">
        <f t="shared" si="19"/>
        <v>0.08819701238542453</v>
      </c>
      <c r="M87" s="15">
        <f t="shared" si="19"/>
        <v>0.09125889952219608</v>
      </c>
    </row>
    <row r="88" spans="1:13" ht="12.75">
      <c r="A88" s="1">
        <v>4</v>
      </c>
      <c r="B88" s="57">
        <f t="shared" si="20"/>
        <v>2.6265278044037674</v>
      </c>
      <c r="C88" s="13">
        <f t="shared" si="19"/>
        <v>-0.052222222222222225</v>
      </c>
      <c r="D88" s="7">
        <f t="shared" si="19"/>
        <v>0.02080922162479193</v>
      </c>
      <c r="E88" s="7">
        <f t="shared" si="19"/>
        <v>0.03301306102971193</v>
      </c>
      <c r="F88" s="7">
        <f t="shared" si="19"/>
        <v>0.04475876949193425</v>
      </c>
      <c r="G88" s="7">
        <f t="shared" si="19"/>
        <v>0.05551971927503917</v>
      </c>
      <c r="H88" s="7">
        <f t="shared" si="19"/>
        <v>0.06494221133725948</v>
      </c>
      <c r="I88" s="7">
        <f t="shared" si="19"/>
        <v>0.07287127132650137</v>
      </c>
      <c r="J88" s="7">
        <f t="shared" si="19"/>
        <v>0.07932348257066489</v>
      </c>
      <c r="K88" s="7">
        <f t="shared" si="19"/>
        <v>0.08443209813149254</v>
      </c>
      <c r="L88" s="7">
        <f t="shared" si="19"/>
        <v>0.0883899118402407</v>
      </c>
      <c r="M88" s="15">
        <f t="shared" si="19"/>
        <v>0.09140482078554278</v>
      </c>
    </row>
    <row r="89" spans="1:13" ht="12.75">
      <c r="A89" s="1">
        <v>5</v>
      </c>
      <c r="B89" s="57">
        <f t="shared" si="20"/>
        <v>3.6238983183884783</v>
      </c>
      <c r="C89" s="13">
        <f t="shared" si="19"/>
        <v>-0.052222222222222225</v>
      </c>
      <c r="D89" s="7">
        <f t="shared" si="19"/>
        <v>0.021404820157940454</v>
      </c>
      <c r="E89" s="7">
        <f t="shared" si="19"/>
        <v>0.03360032476695031</v>
      </c>
      <c r="F89" s="7">
        <f t="shared" si="19"/>
        <v>0.045309132522527336</v>
      </c>
      <c r="G89" s="7">
        <f t="shared" si="19"/>
        <v>0.056011500299982454</v>
      </c>
      <c r="H89" s="7">
        <f t="shared" si="19"/>
        <v>0.06536330630060697</v>
      </c>
      <c r="I89" s="7">
        <f t="shared" si="19"/>
        <v>0.07321889633513082</v>
      </c>
      <c r="J89" s="7">
        <f t="shared" si="19"/>
        <v>0.0796019112515079</v>
      </c>
      <c r="K89" s="7">
        <f t="shared" si="19"/>
        <v>0.08464976197878739</v>
      </c>
      <c r="L89" s="7">
        <f t="shared" si="19"/>
        <v>0.08855687295654209</v>
      </c>
      <c r="M89" s="15">
        <f t="shared" si="19"/>
        <v>0.09153103674943454</v>
      </c>
    </row>
    <row r="90" spans="1:13" ht="12.75">
      <c r="A90" s="1">
        <v>6</v>
      </c>
      <c r="B90" s="57">
        <f t="shared" si="20"/>
        <v>5.000000000000001</v>
      </c>
      <c r="C90" s="13">
        <f t="shared" si="19"/>
        <v>-0.052222222222222225</v>
      </c>
      <c r="D90" s="7">
        <f t="shared" si="19"/>
        <v>0.02190744681354415</v>
      </c>
      <c r="E90" s="7">
        <f t="shared" si="19"/>
        <v>0.03409477183561833</v>
      </c>
      <c r="F90" s="7">
        <f t="shared" si="19"/>
        <v>0.04577148216992266</v>
      </c>
      <c r="G90" s="7">
        <f t="shared" si="19"/>
        <v>0.05642379762232012</v>
      </c>
      <c r="H90" s="7">
        <f t="shared" si="19"/>
        <v>0.06571571571571572</v>
      </c>
      <c r="I90" s="7">
        <f t="shared" si="19"/>
        <v>0.07350938586530907</v>
      </c>
      <c r="J90" s="7">
        <f t="shared" si="19"/>
        <v>0.07983429559330149</v>
      </c>
      <c r="K90" s="7">
        <f t="shared" si="19"/>
        <v>0.0848312561658089</v>
      </c>
      <c r="L90" s="7">
        <f t="shared" si="19"/>
        <v>0.08869598648848033</v>
      </c>
      <c r="M90" s="15">
        <f t="shared" si="19"/>
        <v>0.09163614163614164</v>
      </c>
    </row>
    <row r="91" spans="1:13" ht="12.75">
      <c r="A91" s="1">
        <v>7</v>
      </c>
      <c r="B91" s="57">
        <f t="shared" si="20"/>
        <v>6.898648307306075</v>
      </c>
      <c r="C91" s="13">
        <f t="shared" si="19"/>
        <v>-0.052222222222222225</v>
      </c>
      <c r="D91" s="7">
        <f t="shared" si="19"/>
        <v>0.022317422519717394</v>
      </c>
      <c r="E91" s="7">
        <f t="shared" si="19"/>
        <v>0.03449730153977316</v>
      </c>
      <c r="F91" s="7">
        <f t="shared" si="19"/>
        <v>0.046147188911576424</v>
      </c>
      <c r="G91" s="7">
        <f t="shared" si="19"/>
        <v>0.05675826928067365</v>
      </c>
      <c r="H91" s="7">
        <f t="shared" si="19"/>
        <v>0.06600118523394688</v>
      </c>
      <c r="I91" s="7">
        <f t="shared" si="19"/>
        <v>0.07374440797486277</v>
      </c>
      <c r="J91" s="7">
        <f t="shared" si="19"/>
        <v>0.0800221198501668</v>
      </c>
      <c r="K91" s="7">
        <f t="shared" si="19"/>
        <v>0.08497783291481453</v>
      </c>
      <c r="L91" s="7">
        <f t="shared" si="19"/>
        <v>0.08880826764165171</v>
      </c>
      <c r="M91" s="15">
        <f t="shared" si="19"/>
        <v>0.0917209344161344</v>
      </c>
    </row>
    <row r="92" spans="1:13" ht="12.75">
      <c r="A92" s="1">
        <v>8</v>
      </c>
      <c r="B92" s="57">
        <f t="shared" si="20"/>
        <v>9.518269693579395</v>
      </c>
      <c r="C92" s="13">
        <f t="shared" si="19"/>
        <v>-0.052222222222222225</v>
      </c>
      <c r="D92" s="7">
        <f t="shared" si="19"/>
        <v>0.022642643246900494</v>
      </c>
      <c r="E92" s="7">
        <f t="shared" si="19"/>
        <v>0.03481612212455665</v>
      </c>
      <c r="F92" s="7">
        <f t="shared" si="19"/>
        <v>0.04644432462121546</v>
      </c>
      <c r="G92" s="7">
        <f t="shared" si="19"/>
        <v>0.05702243704673175</v>
      </c>
      <c r="H92" s="7">
        <f t="shared" si="19"/>
        <v>0.0662263862167106</v>
      </c>
      <c r="I92" s="7">
        <f t="shared" si="19"/>
        <v>0.07392962972653869</v>
      </c>
      <c r="J92" s="7">
        <f t="shared" si="19"/>
        <v>0.08017002677386997</v>
      </c>
      <c r="K92" s="7">
        <f t="shared" si="19"/>
        <v>0.08509318578392751</v>
      </c>
      <c r="L92" s="7">
        <f t="shared" si="19"/>
        <v>0.08889658758095478</v>
      </c>
      <c r="M92" s="15">
        <f t="shared" si="19"/>
        <v>0.09178760741671314</v>
      </c>
    </row>
    <row r="93" spans="1:13" ht="12.75">
      <c r="A93" s="1">
        <v>9</v>
      </c>
      <c r="B93" s="57">
        <f t="shared" si="20"/>
        <v>13.13263902201884</v>
      </c>
      <c r="C93" s="13">
        <f t="shared" si="19"/>
        <v>-0.05222222222222222</v>
      </c>
      <c r="D93" s="7">
        <f t="shared" si="19"/>
        <v>0.022894978684082242</v>
      </c>
      <c r="E93" s="7">
        <f t="shared" si="19"/>
        <v>0.03506319160184645</v>
      </c>
      <c r="F93" s="7">
        <f t="shared" si="19"/>
        <v>0.04667432250832509</v>
      </c>
      <c r="G93" s="7">
        <f t="shared" si="19"/>
        <v>0.05722670042183879</v>
      </c>
      <c r="H93" s="7">
        <f t="shared" si="19"/>
        <v>0.06640035932844304</v>
      </c>
      <c r="I93" s="7">
        <f t="shared" si="19"/>
        <v>0.07407260798415674</v>
      </c>
      <c r="J93" s="7">
        <f t="shared" si="19"/>
        <v>0.08028412950827132</v>
      </c>
      <c r="K93" s="7">
        <f t="shared" si="19"/>
        <v>0.08518213099264167</v>
      </c>
      <c r="L93" s="7">
        <f t="shared" si="19"/>
        <v>0.08896466264442292</v>
      </c>
      <c r="M93" s="15">
        <f t="shared" si="19"/>
        <v>0.09183898266957138</v>
      </c>
    </row>
    <row r="94" spans="1:13" ht="12.75">
      <c r="A94" s="1">
        <v>10</v>
      </c>
      <c r="B94" s="57">
        <f t="shared" si="20"/>
        <v>18.119491591942392</v>
      </c>
      <c r="C94" s="13">
        <f t="shared" si="19"/>
        <v>-0.052222222222222225</v>
      </c>
      <c r="D94" s="7">
        <f t="shared" si="19"/>
        <v>0.023087418845981006</v>
      </c>
      <c r="E94" s="7">
        <f t="shared" si="19"/>
        <v>0.03525143975403849</v>
      </c>
      <c r="F94" s="7">
        <f t="shared" si="19"/>
        <v>0.04684940719443923</v>
      </c>
      <c r="G94" s="7">
        <f t="shared" si="19"/>
        <v>0.05738206885469315</v>
      </c>
      <c r="H94" s="7">
        <f t="shared" si="19"/>
        <v>0.06653259491393135</v>
      </c>
      <c r="I94" s="7">
        <f t="shared" si="19"/>
        <v>0.0741812205844618</v>
      </c>
      <c r="J94" s="7">
        <f t="shared" si="19"/>
        <v>0.0803707656270709</v>
      </c>
      <c r="K94" s="7">
        <f t="shared" si="19"/>
        <v>0.08524964004961862</v>
      </c>
      <c r="L94" s="7">
        <f t="shared" si="19"/>
        <v>0.08901631632870453</v>
      </c>
      <c r="M94" s="15">
        <f t="shared" si="19"/>
        <v>0.0918779563386593</v>
      </c>
    </row>
    <row r="95" spans="1:13" ht="12.75">
      <c r="A95" s="1">
        <v>11</v>
      </c>
      <c r="B95" s="57">
        <f t="shared" si="20"/>
        <v>25.000000000000007</v>
      </c>
      <c r="C95" s="35">
        <f t="shared" si="19"/>
        <v>-0.052222222222222225</v>
      </c>
      <c r="D95" s="8">
        <f t="shared" si="19"/>
        <v>0.023232261033521537</v>
      </c>
      <c r="E95" s="8">
        <f t="shared" si="19"/>
        <v>0.03539302645204544</v>
      </c>
      <c r="F95" s="8">
        <f t="shared" si="19"/>
        <v>0.04698100436456544</v>
      </c>
      <c r="G95" s="8">
        <f t="shared" si="19"/>
        <v>0.057498775275552985</v>
      </c>
      <c r="H95" s="8">
        <f t="shared" si="19"/>
        <v>0.06663187195546276</v>
      </c>
      <c r="I95" s="8">
        <f t="shared" si="19"/>
        <v>0.07426272613676181</v>
      </c>
      <c r="J95" s="8">
        <f t="shared" si="19"/>
        <v>0.08043575605170654</v>
      </c>
      <c r="K95" s="8">
        <f t="shared" si="19"/>
        <v>0.08530026784142941</v>
      </c>
      <c r="L95" s="8">
        <f t="shared" si="19"/>
        <v>0.08905504503074557</v>
      </c>
      <c r="M95" s="19">
        <f t="shared" si="19"/>
        <v>0.09190717299578059</v>
      </c>
    </row>
    <row r="99" spans="2:6" ht="12.75">
      <c r="B99" s="63" t="s">
        <v>152</v>
      </c>
      <c r="C99" s="63"/>
      <c r="D99" s="63"/>
      <c r="E99" s="63"/>
      <c r="F99" s="63"/>
    </row>
  </sheetData>
  <mergeCells count="1">
    <mergeCell ref="B99:F99"/>
  </mergeCells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4"/>
  <sheetViews>
    <sheetView workbookViewId="0" topLeftCell="A38">
      <selection activeCell="G63" sqref="G63"/>
    </sheetView>
  </sheetViews>
  <sheetFormatPr defaultColWidth="9.140625" defaultRowHeight="12.75"/>
  <sheetData>
    <row r="1" ht="12.75">
      <c r="C1" t="s">
        <v>48</v>
      </c>
    </row>
    <row r="54" spans="2:6" ht="12.75">
      <c r="B54" s="63" t="s">
        <v>152</v>
      </c>
      <c r="C54" s="63"/>
      <c r="D54" s="63"/>
      <c r="E54" s="63"/>
      <c r="F54" s="63"/>
    </row>
  </sheetData>
  <mergeCells count="1">
    <mergeCell ref="B54:F5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L52"/>
  <sheetViews>
    <sheetView workbookViewId="0" topLeftCell="A33">
      <selection activeCell="E54" sqref="E54"/>
    </sheetView>
  </sheetViews>
  <sheetFormatPr defaultColWidth="9.140625" defaultRowHeight="12.75"/>
  <sheetData>
    <row r="5" ht="12.75">
      <c r="L5" t="s">
        <v>88</v>
      </c>
    </row>
    <row r="6" ht="12.75">
      <c r="L6" t="s">
        <v>89</v>
      </c>
    </row>
    <row r="7" ht="12.75">
      <c r="L7" t="s">
        <v>90</v>
      </c>
    </row>
    <row r="8" ht="12.75">
      <c r="L8" t="s">
        <v>91</v>
      </c>
    </row>
    <row r="9" ht="12.75">
      <c r="L9" t="s">
        <v>73</v>
      </c>
    </row>
    <row r="11" ht="12.75">
      <c r="L11" t="s">
        <v>92</v>
      </c>
    </row>
    <row r="12" ht="12.75">
      <c r="L12" t="s">
        <v>93</v>
      </c>
    </row>
    <row r="52" spans="2:6" ht="12.75">
      <c r="B52" s="63" t="s">
        <v>152</v>
      </c>
      <c r="C52" s="63"/>
      <c r="D52" s="63"/>
      <c r="E52" s="63"/>
      <c r="F52" s="63"/>
    </row>
  </sheetData>
  <mergeCells count="1">
    <mergeCell ref="B52:F5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36"/>
  <sheetViews>
    <sheetView workbookViewId="0" topLeftCell="A18">
      <selection activeCell="F38" sqref="F38"/>
    </sheetView>
  </sheetViews>
  <sheetFormatPr defaultColWidth="9.140625" defaultRowHeight="12.75"/>
  <sheetData>
    <row r="3" ht="12.75">
      <c r="M3" t="s">
        <v>105</v>
      </c>
    </row>
    <row r="4" ht="12.75">
      <c r="M4" t="s">
        <v>110</v>
      </c>
    </row>
    <row r="6" ht="12.75">
      <c r="M6" t="s">
        <v>106</v>
      </c>
    </row>
    <row r="7" ht="12.75">
      <c r="M7" t="s">
        <v>107</v>
      </c>
    </row>
    <row r="8" ht="12.75">
      <c r="M8" t="s">
        <v>108</v>
      </c>
    </row>
    <row r="10" ht="12.75">
      <c r="M10" t="s">
        <v>146</v>
      </c>
    </row>
    <row r="11" ht="12.75">
      <c r="M11" t="s">
        <v>147</v>
      </c>
    </row>
    <row r="12" spans="13:16" ht="15.75">
      <c r="M12" s="49">
        <v>1</v>
      </c>
      <c r="N12" s="29" t="str">
        <f>IF(OR(M12&lt;1,M12&gt;11),"BAD"," ")</f>
        <v> </v>
      </c>
      <c r="O12" s="54" t="s">
        <v>109</v>
      </c>
      <c r="P12" s="37">
        <f>VLOOKUP($M$12,calculations!A69:M79,2)</f>
        <v>0</v>
      </c>
    </row>
    <row r="15" ht="12.75">
      <c r="M15" t="s">
        <v>118</v>
      </c>
    </row>
    <row r="16" spans="13:15" ht="12.75">
      <c r="M16" s="54" t="s">
        <v>111</v>
      </c>
      <c r="N16" s="55"/>
      <c r="O16" s="56">
        <f>calculations!E64</f>
        <v>0</v>
      </c>
    </row>
    <row r="17" spans="13:15" ht="12.75">
      <c r="M17" s="54" t="s">
        <v>112</v>
      </c>
      <c r="N17" s="55"/>
      <c r="O17" s="56">
        <f>calculations!E65</f>
        <v>0.1</v>
      </c>
    </row>
    <row r="19" ht="12.75">
      <c r="M19" t="s">
        <v>119</v>
      </c>
    </row>
    <row r="20" spans="13:15" ht="12.75">
      <c r="M20" s="54" t="s">
        <v>113</v>
      </c>
      <c r="N20" s="55"/>
      <c r="O20" s="56">
        <f>calculations!G64</f>
        <v>-0.25</v>
      </c>
    </row>
    <row r="21" spans="13:15" ht="12.75">
      <c r="M21" s="54" t="s">
        <v>114</v>
      </c>
      <c r="N21" s="55"/>
      <c r="O21" s="56">
        <f>calculations!G65</f>
        <v>-0.1</v>
      </c>
    </row>
    <row r="23" ht="12.75">
      <c r="M23" t="s">
        <v>120</v>
      </c>
    </row>
    <row r="24" spans="13:15" ht="12.75">
      <c r="M24" s="54" t="s">
        <v>121</v>
      </c>
      <c r="N24" s="55"/>
      <c r="O24" s="56">
        <f>calculations!B28</f>
        <v>0.7777777777777778</v>
      </c>
    </row>
    <row r="26" ht="12.75">
      <c r="M26" t="s">
        <v>143</v>
      </c>
    </row>
    <row r="30" ht="12.75">
      <c r="B30" t="s">
        <v>115</v>
      </c>
    </row>
    <row r="31" ht="12.75">
      <c r="B31" t="s">
        <v>116</v>
      </c>
    </row>
    <row r="32" ht="12.75">
      <c r="B32" t="s">
        <v>117</v>
      </c>
    </row>
    <row r="36" spans="2:6" ht="12.75">
      <c r="B36" s="63" t="s">
        <v>152</v>
      </c>
      <c r="C36" s="63"/>
      <c r="D36" s="63"/>
      <c r="E36" s="63"/>
      <c r="F36" s="63"/>
    </row>
  </sheetData>
  <mergeCells count="1">
    <mergeCell ref="B36:F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bsj</dc:creator>
  <cp:keywords/>
  <dc:description/>
  <cp:lastModifiedBy> </cp:lastModifiedBy>
  <dcterms:created xsi:type="dcterms:W3CDTF">2004-11-04T01:56:03Z</dcterms:created>
  <dcterms:modified xsi:type="dcterms:W3CDTF">2005-03-08T19:56:39Z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1285564855</vt:i4>
  </property>
  <property fmtid="{D5CDD505-2E9C-101B-9397-08002B2CF9AE}" pid="3" name="_EmailSubject">
    <vt:lpwstr>file</vt:lpwstr>
  </property>
  <property fmtid="{D5CDD505-2E9C-101B-9397-08002B2CF9AE}" pid="4" name="_AuthorEmail">
    <vt:lpwstr>cc_nbhatt@sapient.com</vt:lpwstr>
  </property>
  <property fmtid="{D5CDD505-2E9C-101B-9397-08002B2CF9AE}" pid="5" name="_AuthorEmailDisplayName">
    <vt:lpwstr>Neelam Bhatt (C)</vt:lpwstr>
  </property>
  <property fmtid="{D5CDD505-2E9C-101B-9397-08002B2CF9AE}" pid="6" name="_ReviewingToolsShownOnce">
    <vt:lpwstr/>
  </property>
</Properties>
</file>