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6" activeTab="10"/>
  </bookViews>
  <sheets>
    <sheet name="Market A" sheetId="1" r:id="rId1"/>
    <sheet name="Market B" sheetId="2" r:id="rId2"/>
    <sheet name="Market C" sheetId="3" r:id="rId3"/>
    <sheet name="Market D" sheetId="4" r:id="rId4"/>
    <sheet name="Costs" sheetId="5" r:id="rId5"/>
    <sheet name="1.1 Demand Estimates" sheetId="6" r:id="rId6"/>
    <sheet name="1.2 Profit Max" sheetId="7" r:id="rId7"/>
    <sheet name="1.3 Multi-Period" sheetId="8" r:id="rId8"/>
    <sheet name="2. Cash Flows" sheetId="9" r:id="rId9"/>
    <sheet name="Demands and Capacity" sheetId="10" r:id="rId10"/>
    <sheet name="3. Product Diff.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Eric Moos</author>
  </authors>
  <commentList>
    <comment ref="O44" authorId="0">
      <text>
        <r>
          <rPr>
            <b/>
            <sz val="8"/>
            <rFont val="Tahoma"/>
            <family val="0"/>
          </rPr>
          <t>Eric Moos:</t>
        </r>
        <r>
          <rPr>
            <sz val="8"/>
            <rFont val="Tahoma"/>
            <family val="0"/>
          </rPr>
          <t xml:space="preserve">
Using 2% interest rate in all periods.</t>
        </r>
      </text>
    </comment>
    <comment ref="P44" authorId="0">
      <text>
        <r>
          <rPr>
            <b/>
            <sz val="8"/>
            <rFont val="Tahoma"/>
            <family val="0"/>
          </rPr>
          <t>Eric Moos:</t>
        </r>
        <r>
          <rPr>
            <sz val="8"/>
            <rFont val="Tahoma"/>
            <family val="0"/>
          </rPr>
          <t xml:space="preserve">
Using 2% and 5% interest rates as necessary.</t>
        </r>
      </text>
    </comment>
    <comment ref="O57" authorId="0">
      <text>
        <r>
          <rPr>
            <b/>
            <sz val="8"/>
            <rFont val="Tahoma"/>
            <family val="0"/>
          </rPr>
          <t>Eric Moos:</t>
        </r>
        <r>
          <rPr>
            <sz val="8"/>
            <rFont val="Tahoma"/>
            <family val="0"/>
          </rPr>
          <t xml:space="preserve">
Using 2% interest rate in all periods.</t>
        </r>
      </text>
    </comment>
    <comment ref="P57" authorId="0">
      <text>
        <r>
          <rPr>
            <b/>
            <sz val="8"/>
            <rFont val="Tahoma"/>
            <family val="0"/>
          </rPr>
          <t>Eric Moos:</t>
        </r>
        <r>
          <rPr>
            <sz val="8"/>
            <rFont val="Tahoma"/>
            <family val="0"/>
          </rPr>
          <t xml:space="preserve">
Using 2% and 5% interest rates as necessary.</t>
        </r>
      </text>
    </comment>
    <comment ref="O71" authorId="0">
      <text>
        <r>
          <rPr>
            <b/>
            <sz val="8"/>
            <rFont val="Tahoma"/>
            <family val="0"/>
          </rPr>
          <t>Eric Moos:</t>
        </r>
        <r>
          <rPr>
            <sz val="8"/>
            <rFont val="Tahoma"/>
            <family val="0"/>
          </rPr>
          <t xml:space="preserve">
Using 2% interest rate in all periods.</t>
        </r>
      </text>
    </comment>
    <comment ref="P71" authorId="0">
      <text>
        <r>
          <rPr>
            <b/>
            <sz val="8"/>
            <rFont val="Tahoma"/>
            <family val="0"/>
          </rPr>
          <t>Eric Moos:</t>
        </r>
        <r>
          <rPr>
            <sz val="8"/>
            <rFont val="Tahoma"/>
            <family val="0"/>
          </rPr>
          <t xml:space="preserve">
Using 2% and 5% interest rates as necessary.</t>
        </r>
      </text>
    </comment>
    <comment ref="O82" authorId="0">
      <text>
        <r>
          <rPr>
            <b/>
            <sz val="8"/>
            <rFont val="Tahoma"/>
            <family val="0"/>
          </rPr>
          <t>Eric Moos:</t>
        </r>
        <r>
          <rPr>
            <sz val="8"/>
            <rFont val="Tahoma"/>
            <family val="0"/>
          </rPr>
          <t xml:space="preserve">
Using 2% interest rate in all periods.</t>
        </r>
      </text>
    </comment>
  </commentList>
</comments>
</file>

<file path=xl/comments8.xml><?xml version="1.0" encoding="utf-8"?>
<comments xmlns="http://schemas.openxmlformats.org/spreadsheetml/2006/main">
  <authors>
    <author>Eric Moos</author>
  </authors>
  <commentList>
    <comment ref="G2" authorId="0">
      <text>
        <r>
          <rPr>
            <b/>
            <sz val="8"/>
            <rFont val="Tahoma"/>
            <family val="0"/>
          </rPr>
          <t>Eric Moos:</t>
        </r>
        <r>
          <rPr>
            <sz val="8"/>
            <rFont val="Tahoma"/>
            <family val="0"/>
          </rPr>
          <t xml:space="preserve">
Using 2% interest rate in all periods.</t>
        </r>
      </text>
    </comment>
    <comment ref="H2" authorId="0">
      <text>
        <r>
          <rPr>
            <b/>
            <sz val="8"/>
            <rFont val="Tahoma"/>
            <family val="0"/>
          </rPr>
          <t>Eric Moos:</t>
        </r>
        <r>
          <rPr>
            <sz val="8"/>
            <rFont val="Tahoma"/>
            <family val="0"/>
          </rPr>
          <t xml:space="preserve">
Using 2% and 5% interest rates as necessary.</t>
        </r>
      </text>
    </comment>
  </commentList>
</comments>
</file>

<file path=xl/sharedStrings.xml><?xml version="1.0" encoding="utf-8"?>
<sst xmlns="http://schemas.openxmlformats.org/spreadsheetml/2006/main" count="460" uniqueCount="76">
  <si>
    <t>MARKET</t>
  </si>
  <si>
    <t>A</t>
  </si>
  <si>
    <t>Quant</t>
  </si>
  <si>
    <t>Price</t>
  </si>
  <si>
    <t># firms</t>
  </si>
  <si>
    <t>ln price</t>
  </si>
  <si>
    <t>B</t>
  </si>
  <si>
    <t>C</t>
  </si>
  <si>
    <t>D</t>
  </si>
  <si>
    <t>ln Quant</t>
  </si>
  <si>
    <t>ln P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</si>
  <si>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</si>
  <si>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</si>
  <si>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</si>
  <si>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</si>
  <si>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</si>
  <si>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</si>
  <si>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</si>
  <si>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</si>
  <si>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</si>
  <si>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</si>
  <si>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</si>
  <si>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</si>
  <si>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</si>
  <si>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</si>
  <si>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</si>
  <si>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</si>
  <si>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</si>
  <si>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</si>
  <si>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</si>
  <si>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</si>
  <si>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</si>
  <si>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Summary Output for Linear Specification</t>
  </si>
  <si>
    <t>Summary Output for Log-Linear Specification</t>
  </si>
  <si>
    <t>Entry</t>
  </si>
  <si>
    <t>Cost</t>
  </si>
  <si>
    <t>Capacity</t>
  </si>
  <si>
    <t>Marginal</t>
  </si>
  <si>
    <t>Market A</t>
  </si>
  <si>
    <t>Market B</t>
  </si>
  <si>
    <t>Market C</t>
  </si>
  <si>
    <t>Market D</t>
  </si>
  <si>
    <t>Scrap</t>
  </si>
  <si>
    <t>Quantity</t>
  </si>
  <si>
    <t>Revenue</t>
  </si>
  <si>
    <t>Profit</t>
  </si>
  <si>
    <t>Profit Increment</t>
  </si>
  <si>
    <t>Capacity Increment</t>
  </si>
  <si>
    <t>Marginal Contribution</t>
  </si>
  <si>
    <t>PDV</t>
  </si>
  <si>
    <t>(Approx.)</t>
  </si>
  <si>
    <t>(Exact)</t>
  </si>
  <si>
    <t>Beginning Balance</t>
  </si>
  <si>
    <t>Entry Cost</t>
  </si>
  <si>
    <t>Capacity Cost</t>
  </si>
  <si>
    <t>Interest</t>
  </si>
  <si>
    <t>Final Balance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</si>
  <si>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</si>
  <si>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</si>
  <si>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</si>
  <si>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</si>
  <si>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</si>
  <si>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</si>
  <si>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</si>
  <si>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</si>
  <si>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Market A Demand</t>
  </si>
  <si>
    <t>Market B Demand</t>
  </si>
  <si>
    <t>Market C Demand</t>
  </si>
  <si>
    <t>Economic Cost of Capacity</t>
  </si>
  <si>
    <t>(Approx)</t>
  </si>
  <si>
    <t>Approx.</t>
  </si>
  <si>
    <t>Exact</t>
  </si>
  <si>
    <t>4 Productive Periods</t>
  </si>
  <si>
    <t>3 Productive Periods</t>
  </si>
  <si>
    <t>Market D Demand</t>
  </si>
  <si>
    <t>Product Differentiation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</si>
</sst>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Fill="1" applyBorder="1" applyAlignment="1">
      <alignment horizontal="centerContinuous"/>
    </xf>
    <xf numFmtId="0" fontId="0" fillId="0" borderId="6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0" fillId="0" borderId="7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2" borderId="12" xfId="0" applyFill="1" applyBorder="1" applyAlignment="1">
      <alignment/>
    </xf>
    <xf numFmtId="2" fontId="0" fillId="2" borderId="12" xfId="0" applyNumberForma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2" fontId="4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Linear Specification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'Market D'!$D$1</c:f>
              <c:strCache>
                <c:ptCount val="1"/>
                <c:pt idx="0">
                  <c:v>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'Market D'!$C$2:$C$21</c:f>
              <c:numCache>
                <c:ptCount val="20"/>
                <c:pt idx="0">
                  <c:v>4462</c:v>
                </c:pt>
                <c:pt idx="1">
                  <c:v>3724</c:v>
                </c:pt>
                <c:pt idx="2">
                  <c:v>4016</c:v>
                </c:pt>
                <c:pt idx="3">
                  <c:v>2556</c:v>
                </c:pt>
                <c:pt idx="4">
                  <c:v>2130</c:v>
                </c:pt>
                <c:pt idx="5">
                  <c:v>5040</c:v>
                </c:pt>
                <c:pt idx="6">
                  <c:v>1284</c:v>
                </c:pt>
                <c:pt idx="7">
                  <c:v>2410</c:v>
                </c:pt>
                <c:pt idx="8">
                  <c:v>3767</c:v>
                </c:pt>
                <c:pt idx="9">
                  <c:v>3346</c:v>
                </c:pt>
                <c:pt idx="10">
                  <c:v>2495</c:v>
                </c:pt>
                <c:pt idx="11">
                  <c:v>1780</c:v>
                </c:pt>
                <c:pt idx="12">
                  <c:v>1560</c:v>
                </c:pt>
                <c:pt idx="13">
                  <c:v>4169</c:v>
                </c:pt>
                <c:pt idx="14">
                  <c:v>2766</c:v>
                </c:pt>
                <c:pt idx="15">
                  <c:v>2289</c:v>
                </c:pt>
                <c:pt idx="16">
                  <c:v>2228</c:v>
                </c:pt>
                <c:pt idx="17">
                  <c:v>1651</c:v>
                </c:pt>
                <c:pt idx="18">
                  <c:v>3359</c:v>
                </c:pt>
                <c:pt idx="19">
                  <c:v>1341</c:v>
                </c:pt>
              </c:numCache>
            </c:numRef>
          </c:xVal>
          <c:yVal>
            <c:numRef>
              <c:f>'Market D'!$D$2:$D$21</c:f>
              <c:numCache>
                <c:ptCount val="20"/>
                <c:pt idx="0">
                  <c:v>459</c:v>
                </c:pt>
                <c:pt idx="1">
                  <c:v>615</c:v>
                </c:pt>
                <c:pt idx="2">
                  <c:v>540</c:v>
                </c:pt>
                <c:pt idx="3">
                  <c:v>888</c:v>
                </c:pt>
                <c:pt idx="4">
                  <c:v>1001</c:v>
                </c:pt>
                <c:pt idx="5">
                  <c:v>333</c:v>
                </c:pt>
                <c:pt idx="6">
                  <c:v>1305</c:v>
                </c:pt>
                <c:pt idx="7">
                  <c:v>933</c:v>
                </c:pt>
                <c:pt idx="8">
                  <c:v>590</c:v>
                </c:pt>
                <c:pt idx="9">
                  <c:v>687</c:v>
                </c:pt>
                <c:pt idx="10">
                  <c:v>911</c:v>
                </c:pt>
                <c:pt idx="11">
                  <c:v>1106</c:v>
                </c:pt>
                <c:pt idx="12">
                  <c:v>1198</c:v>
                </c:pt>
                <c:pt idx="13">
                  <c:v>489</c:v>
                </c:pt>
                <c:pt idx="14">
                  <c:v>802</c:v>
                </c:pt>
                <c:pt idx="15">
                  <c:v>951</c:v>
                </c:pt>
                <c:pt idx="16">
                  <c:v>987</c:v>
                </c:pt>
                <c:pt idx="17">
                  <c:v>1180</c:v>
                </c:pt>
                <c:pt idx="18">
                  <c:v>671</c:v>
                </c:pt>
                <c:pt idx="19">
                  <c:v>1267</c:v>
                </c:pt>
              </c:numCache>
            </c:numRef>
          </c:yVal>
          <c:smooth val="0"/>
        </c:ser>
        <c:axId val="63208277"/>
        <c:axId val="32003582"/>
      </c:scatterChart>
      <c:valAx>
        <c:axId val="63208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03582"/>
        <c:crosses val="autoZero"/>
        <c:crossBetween val="midCat"/>
        <c:dispUnits/>
      </c:valAx>
      <c:valAx>
        <c:axId val="32003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08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Log-Linear Specification</a:t>
            </a:r>
          </a:p>
        </c:rich>
      </c:tx>
      <c:layout>
        <c:manualLayout>
          <c:xMode val="factor"/>
          <c:yMode val="factor"/>
          <c:x val="0.0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3075"/>
          <c:w val="0.9255"/>
          <c:h val="0.7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'Market D'!$F$1</c:f>
              <c:strCache>
                <c:ptCount val="1"/>
                <c:pt idx="0">
                  <c:v>ln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'Market D'!$E$2:$E$21</c:f>
              <c:numCache>
                <c:ptCount val="20"/>
                <c:pt idx="0">
                  <c:v>8.403352374992478</c:v>
                </c:pt>
                <c:pt idx="1">
                  <c:v>8.222553638396958</c:v>
                </c:pt>
                <c:pt idx="2">
                  <c:v>8.298041661371565</c:v>
                </c:pt>
                <c:pt idx="3">
                  <c:v>7.846198815497425</c:v>
                </c:pt>
                <c:pt idx="4">
                  <c:v>7.6638772587034705</c:v>
                </c:pt>
                <c:pt idx="5">
                  <c:v>8.525161361065415</c:v>
                </c:pt>
                <c:pt idx="6">
                  <c:v>7.157735484249907</c:v>
                </c:pt>
                <c:pt idx="7">
                  <c:v>7.787382026484701</c:v>
                </c:pt>
                <c:pt idx="8">
                  <c:v>8.23403420769204</c:v>
                </c:pt>
                <c:pt idx="9">
                  <c:v>8.11552088154677</c:v>
                </c:pt>
                <c:pt idx="10">
                  <c:v>7.822044008185619</c:v>
                </c:pt>
                <c:pt idx="11">
                  <c:v>7.484368643286131</c:v>
                </c:pt>
                <c:pt idx="12">
                  <c:v>7.352441100243583</c:v>
                </c:pt>
                <c:pt idx="13">
                  <c:v>8.335431477880796</c:v>
                </c:pt>
                <c:pt idx="14">
                  <c:v>7.925157512224703</c:v>
                </c:pt>
                <c:pt idx="15">
                  <c:v>7.735870319952567</c:v>
                </c:pt>
                <c:pt idx="16">
                  <c:v>7.708859601047175</c:v>
                </c:pt>
                <c:pt idx="17">
                  <c:v>7.409136443920128</c:v>
                </c:pt>
                <c:pt idx="18">
                  <c:v>8.119398589612294</c:v>
                </c:pt>
                <c:pt idx="19">
                  <c:v>7.201170883281678</c:v>
                </c:pt>
              </c:numCache>
            </c:numRef>
          </c:xVal>
          <c:yVal>
            <c:numRef>
              <c:f>'Market D'!$F$2:$F$21</c:f>
              <c:numCache>
                <c:ptCount val="20"/>
                <c:pt idx="0">
                  <c:v>6.129050210060545</c:v>
                </c:pt>
                <c:pt idx="1">
                  <c:v>6.421622267806518</c:v>
                </c:pt>
                <c:pt idx="2">
                  <c:v>6.29156913955832</c:v>
                </c:pt>
                <c:pt idx="3">
                  <c:v>6.78897174299217</c:v>
                </c:pt>
                <c:pt idx="4">
                  <c:v>6.90875477931522</c:v>
                </c:pt>
                <c:pt idx="5">
                  <c:v>5.808142489980444</c:v>
                </c:pt>
                <c:pt idx="6">
                  <c:v>7.173958319756794</c:v>
                </c:pt>
                <c:pt idx="7">
                  <c:v>6.838405200847344</c:v>
                </c:pt>
                <c:pt idx="8">
                  <c:v>6.380122536899765</c:v>
                </c:pt>
                <c:pt idx="9">
                  <c:v>6.532334292222349</c:v>
                </c:pt>
                <c:pt idx="10">
                  <c:v>6.814542897259958</c:v>
                </c:pt>
                <c:pt idx="11">
                  <c:v>7.00850518208228</c:v>
                </c:pt>
                <c:pt idx="12">
                  <c:v>7.088408778675395</c:v>
                </c:pt>
                <c:pt idx="13">
                  <c:v>6.192362489474872</c:v>
                </c:pt>
                <c:pt idx="14">
                  <c:v>6.687108607866515</c:v>
                </c:pt>
                <c:pt idx="15">
                  <c:v>6.85751406254539</c:v>
                </c:pt>
                <c:pt idx="16">
                  <c:v>6.894670039433482</c:v>
                </c:pt>
                <c:pt idx="17">
                  <c:v>7.07326971745971</c:v>
                </c:pt>
                <c:pt idx="18">
                  <c:v>6.508769136971682</c:v>
                </c:pt>
                <c:pt idx="19">
                  <c:v>7.144407180321139</c:v>
                </c:pt>
              </c:numCache>
            </c:numRef>
          </c:yVal>
          <c:smooth val="0"/>
        </c:ser>
        <c:axId val="19596783"/>
        <c:axId val="42153320"/>
      </c:scatterChart>
      <c:valAx>
        <c:axId val="1959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ln 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53320"/>
        <c:crosses val="autoZero"/>
        <c:crossBetween val="midCat"/>
        <c:dispUnits/>
      </c:valAx>
      <c:valAx>
        <c:axId val="4215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ln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96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18</xdr:row>
      <xdr:rowOff>76200</xdr:rowOff>
    </xdr:from>
    <xdr:to>
      <xdr:col>6</xdr:col>
      <xdr:colOff>457200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219075" y="3048000"/>
        <a:ext cx="56007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63</xdr:row>
      <xdr:rowOff>57150</xdr:rowOff>
    </xdr:from>
    <xdr:to>
      <xdr:col>6</xdr:col>
      <xdr:colOff>447675</xdr:colOff>
      <xdr:row>88</xdr:row>
      <xdr:rowOff>104775</xdr:rowOff>
    </xdr:to>
    <xdr:graphicFrame>
      <xdr:nvGraphicFramePr>
        <xdr:cNvPr id="2" name="Chart 2"/>
        <xdr:cNvGraphicFramePr/>
      </xdr:nvGraphicFramePr>
      <xdr:xfrm>
        <a:off x="219075" y="10382250"/>
        <a:ext cx="55911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1" sqref="C1:D21"/>
    </sheetView>
  </sheetViews>
  <sheetFormatPr defaultColWidth="9.140625" defaultRowHeight="12.75"/>
  <sheetData>
    <row r="1" spans="1:5" ht="12.75">
      <c r="A1" t="s">
        <v>0</v>
      </c>
      <c r="B1" t="s">
        <v>4</v>
      </c>
      <c r="C1" t="s">
        <v>2</v>
      </c>
      <c r="D1" t="s">
        <v>3</v>
      </c>
      <c r="E1" t="s">
        <v>5</v>
      </c>
    </row>
    <row r="2" spans="1:5" ht="12.75">
      <c r="A2" t="s">
        <v>1</v>
      </c>
      <c r="B2">
        <v>1</v>
      </c>
      <c r="C2">
        <v>286</v>
      </c>
      <c r="D2">
        <v>441</v>
      </c>
      <c r="E2">
        <f>LN(D2)</f>
        <v>6.089044875446846</v>
      </c>
    </row>
    <row r="3" spans="1:5" ht="12.75">
      <c r="A3" t="s">
        <v>1</v>
      </c>
      <c r="B3">
        <v>1</v>
      </c>
      <c r="C3">
        <v>496</v>
      </c>
      <c r="D3">
        <v>399</v>
      </c>
      <c r="E3">
        <f aca="true" t="shared" si="0" ref="E3:E21">LN(D3)</f>
        <v>5.988961416889864</v>
      </c>
    </row>
    <row r="4" spans="1:5" ht="12.75">
      <c r="A4" t="s">
        <v>1</v>
      </c>
      <c r="B4">
        <v>1</v>
      </c>
      <c r="C4">
        <v>760</v>
      </c>
      <c r="D4">
        <v>359</v>
      </c>
      <c r="E4">
        <f t="shared" si="0"/>
        <v>5.883322388488279</v>
      </c>
    </row>
    <row r="5" spans="1:5" ht="12.75">
      <c r="A5" t="s">
        <v>1</v>
      </c>
      <c r="B5">
        <v>1</v>
      </c>
      <c r="C5">
        <v>884</v>
      </c>
      <c r="D5">
        <v>350</v>
      </c>
      <c r="E5">
        <f t="shared" si="0"/>
        <v>5.857933154483459</v>
      </c>
    </row>
    <row r="6" spans="1:5" ht="12.75">
      <c r="A6" t="s">
        <v>1</v>
      </c>
      <c r="B6">
        <v>1</v>
      </c>
      <c r="C6">
        <v>1041</v>
      </c>
      <c r="D6">
        <v>335</v>
      </c>
      <c r="E6">
        <f t="shared" si="0"/>
        <v>5.814130531825066</v>
      </c>
    </row>
    <row r="7" spans="1:5" ht="12.75">
      <c r="A7" t="s">
        <v>1</v>
      </c>
      <c r="B7">
        <v>1</v>
      </c>
      <c r="C7">
        <v>1067</v>
      </c>
      <c r="D7">
        <v>331</v>
      </c>
      <c r="E7">
        <f t="shared" si="0"/>
        <v>5.802118375377063</v>
      </c>
    </row>
    <row r="8" spans="1:5" ht="12.75">
      <c r="A8" t="s">
        <v>1</v>
      </c>
      <c r="B8">
        <v>1</v>
      </c>
      <c r="C8">
        <v>1414</v>
      </c>
      <c r="D8">
        <v>299</v>
      </c>
      <c r="E8">
        <f t="shared" si="0"/>
        <v>5.700443573390687</v>
      </c>
    </row>
    <row r="9" spans="1:5" ht="12.75">
      <c r="A9" t="s">
        <v>1</v>
      </c>
      <c r="B9">
        <v>1</v>
      </c>
      <c r="C9">
        <v>1452</v>
      </c>
      <c r="D9">
        <v>300</v>
      </c>
      <c r="E9">
        <f t="shared" si="0"/>
        <v>5.703782474656201</v>
      </c>
    </row>
    <row r="10" spans="1:5" ht="12.75">
      <c r="A10" t="s">
        <v>1</v>
      </c>
      <c r="B10">
        <v>1</v>
      </c>
      <c r="C10">
        <v>1767</v>
      </c>
      <c r="D10">
        <v>281</v>
      </c>
      <c r="E10">
        <f t="shared" si="0"/>
        <v>5.638354669333745</v>
      </c>
    </row>
    <row r="11" spans="1:5" ht="12.75">
      <c r="A11" t="s">
        <v>1</v>
      </c>
      <c r="B11">
        <v>1</v>
      </c>
      <c r="C11">
        <v>2157</v>
      </c>
      <c r="D11">
        <v>255</v>
      </c>
      <c r="E11">
        <f t="shared" si="0"/>
        <v>5.541263545158426</v>
      </c>
    </row>
    <row r="12" spans="1:5" ht="12.75">
      <c r="A12" t="s">
        <v>1</v>
      </c>
      <c r="B12">
        <v>1</v>
      </c>
      <c r="C12">
        <v>2317</v>
      </c>
      <c r="D12">
        <v>244</v>
      </c>
      <c r="E12">
        <f t="shared" si="0"/>
        <v>5.497168225293202</v>
      </c>
    </row>
    <row r="13" spans="1:5" ht="12.75">
      <c r="A13" t="s">
        <v>1</v>
      </c>
      <c r="B13">
        <v>1</v>
      </c>
      <c r="C13">
        <v>3079</v>
      </c>
      <c r="D13">
        <v>213</v>
      </c>
      <c r="E13">
        <f t="shared" si="0"/>
        <v>5.3612921657094255</v>
      </c>
    </row>
    <row r="14" spans="1:5" ht="12.75">
      <c r="A14" t="s">
        <v>1</v>
      </c>
      <c r="B14">
        <v>1</v>
      </c>
      <c r="C14">
        <v>3266</v>
      </c>
      <c r="D14">
        <v>208</v>
      </c>
      <c r="E14">
        <f t="shared" si="0"/>
        <v>5.337538079701318</v>
      </c>
    </row>
    <row r="15" spans="1:5" ht="12.75">
      <c r="A15" t="s">
        <v>1</v>
      </c>
      <c r="B15">
        <v>1</v>
      </c>
      <c r="C15">
        <v>3299</v>
      </c>
      <c r="D15">
        <v>203</v>
      </c>
      <c r="E15">
        <f t="shared" si="0"/>
        <v>5.313205979041787</v>
      </c>
    </row>
    <row r="16" spans="1:5" ht="12.75">
      <c r="A16" t="s">
        <v>1</v>
      </c>
      <c r="B16">
        <v>1</v>
      </c>
      <c r="C16">
        <v>3629</v>
      </c>
      <c r="D16">
        <v>188</v>
      </c>
      <c r="E16">
        <f t="shared" si="0"/>
        <v>5.236441962829949</v>
      </c>
    </row>
    <row r="17" spans="1:5" ht="12.75">
      <c r="A17" t="s">
        <v>1</v>
      </c>
      <c r="B17">
        <v>1</v>
      </c>
      <c r="C17">
        <v>4115</v>
      </c>
      <c r="D17">
        <v>175</v>
      </c>
      <c r="E17">
        <f t="shared" si="0"/>
        <v>5.1647859739235145</v>
      </c>
    </row>
    <row r="18" spans="1:5" ht="12.75">
      <c r="A18" t="s">
        <v>1</v>
      </c>
      <c r="B18">
        <v>1</v>
      </c>
      <c r="C18">
        <v>4244</v>
      </c>
      <c r="D18">
        <v>168</v>
      </c>
      <c r="E18">
        <f t="shared" si="0"/>
        <v>5.123963979403259</v>
      </c>
    </row>
    <row r="19" spans="1:5" ht="12.75">
      <c r="A19" t="s">
        <v>1</v>
      </c>
      <c r="B19">
        <v>1</v>
      </c>
      <c r="C19">
        <v>4678</v>
      </c>
      <c r="D19">
        <v>157</v>
      </c>
      <c r="E19">
        <f t="shared" si="0"/>
        <v>5.056245805348308</v>
      </c>
    </row>
    <row r="20" spans="1:5" ht="12.75">
      <c r="A20" t="s">
        <v>1</v>
      </c>
      <c r="B20">
        <v>1</v>
      </c>
      <c r="C20">
        <v>6053</v>
      </c>
      <c r="D20">
        <v>111</v>
      </c>
      <c r="E20">
        <f t="shared" si="0"/>
        <v>4.709530201312334</v>
      </c>
    </row>
    <row r="21" spans="1:5" ht="12.75">
      <c r="A21" t="s">
        <v>1</v>
      </c>
      <c r="B21">
        <v>1</v>
      </c>
      <c r="C21">
        <v>6904</v>
      </c>
      <c r="D21">
        <v>89</v>
      </c>
      <c r="E21">
        <f t="shared" si="0"/>
        <v>4.48863636973214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1"/>
  <sheetViews>
    <sheetView workbookViewId="0" topLeftCell="A3">
      <selection activeCell="G3" sqref="G1:G16384"/>
    </sheetView>
  </sheetViews>
  <sheetFormatPr defaultColWidth="9.140625" defaultRowHeight="12.75"/>
  <cols>
    <col min="1" max="1" width="16.7109375" style="0" customWidth="1"/>
    <col min="2" max="2" width="12.7109375" style="0" customWidth="1"/>
    <col min="3" max="3" width="15.7109375" style="0" customWidth="1"/>
    <col min="4" max="5" width="10.7109375" style="0" customWidth="1"/>
    <col min="6" max="6" width="13.7109375" style="0" customWidth="1"/>
    <col min="7" max="7" width="10.7109375" style="0" customWidth="1"/>
    <col min="8" max="8" width="15.7109375" style="0" customWidth="1"/>
    <col min="11" max="11" width="9.57421875" style="0" bestFit="1" customWidth="1"/>
  </cols>
  <sheetData>
    <row r="1" spans="1:16" ht="12.75" customHeight="1">
      <c r="A1" s="9" t="s">
        <v>65</v>
      </c>
      <c r="B1" s="10"/>
      <c r="C1" s="10"/>
      <c r="D1" s="10"/>
      <c r="E1" s="10"/>
      <c r="F1" s="10"/>
      <c r="G1" s="11"/>
      <c r="H1" s="40"/>
      <c r="I1" s="41" t="s">
        <v>3</v>
      </c>
      <c r="J1" s="41" t="s">
        <v>43</v>
      </c>
      <c r="K1" s="41" t="s">
        <v>45</v>
      </c>
      <c r="L1" s="42" t="s">
        <v>47</v>
      </c>
      <c r="M1" s="42" t="s">
        <v>46</v>
      </c>
      <c r="N1" s="42" t="s">
        <v>48</v>
      </c>
      <c r="O1" s="43" t="s">
        <v>49</v>
      </c>
      <c r="P1" s="7"/>
    </row>
    <row r="2" spans="1:16" ht="13.5" thickBot="1">
      <c r="A2" s="12"/>
      <c r="B2" s="13"/>
      <c r="C2" s="13"/>
      <c r="D2" s="13"/>
      <c r="E2" s="13"/>
      <c r="F2" s="13"/>
      <c r="G2" s="14"/>
      <c r="H2" s="12"/>
      <c r="I2" s="13">
        <v>247</v>
      </c>
      <c r="J2" s="13">
        <f>7438.288-18.774*I2</f>
        <v>2801.1099999999997</v>
      </c>
      <c r="K2" s="13">
        <f>I2*J2-50*J2</f>
        <v>551818.6699999999</v>
      </c>
      <c r="L2" s="44"/>
      <c r="M2" s="44"/>
      <c r="N2" s="44"/>
      <c r="O2" s="45"/>
      <c r="P2" s="33"/>
    </row>
    <row r="3" spans="1:15" ht="12.75">
      <c r="A3" s="15" t="s">
        <v>11</v>
      </c>
      <c r="B3" s="4"/>
      <c r="C3" s="13"/>
      <c r="D3" s="13"/>
      <c r="E3" s="13"/>
      <c r="F3" s="13"/>
      <c r="G3" s="14"/>
      <c r="H3" s="39" t="s">
        <v>72</v>
      </c>
      <c r="I3" s="13">
        <v>246</v>
      </c>
      <c r="J3" s="13">
        <f aca="true" t="shared" si="0" ref="J3:J16">7438.288-18.774*I3</f>
        <v>2819.883999999999</v>
      </c>
      <c r="K3" s="13">
        <f>I3*J3-50*J3</f>
        <v>552697.2639999999</v>
      </c>
      <c r="L3" s="13">
        <f>J3-J2</f>
        <v>18.773999999999432</v>
      </c>
      <c r="M3" s="13">
        <f>K3-K2</f>
        <v>878.5939999999246</v>
      </c>
      <c r="N3" s="13">
        <f>M3/L3</f>
        <v>46.79844465750246</v>
      </c>
      <c r="O3" s="14">
        <f>N3*(1.02)^(-2)*(1-(1/1.02)^4)/(1-1/1.02)</f>
        <v>174.70174585852206</v>
      </c>
    </row>
    <row r="4" spans="1:15" ht="12.75">
      <c r="A4" s="16" t="s">
        <v>12</v>
      </c>
      <c r="B4" s="1">
        <v>0.963221383929955</v>
      </c>
      <c r="C4" s="13"/>
      <c r="D4" s="13"/>
      <c r="E4" s="13"/>
      <c r="F4" s="13"/>
      <c r="G4" s="14"/>
      <c r="H4" s="39"/>
      <c r="I4" s="46">
        <v>245</v>
      </c>
      <c r="J4" s="46">
        <f t="shared" si="0"/>
        <v>2838.6579999999994</v>
      </c>
      <c r="K4" s="46">
        <f>I4*J4-50*J4</f>
        <v>553538.3099999998</v>
      </c>
      <c r="L4" s="46">
        <f>J4-J3</f>
        <v>18.774000000000342</v>
      </c>
      <c r="M4" s="46">
        <f>K4-K3</f>
        <v>841.045999999973</v>
      </c>
      <c r="N4" s="46">
        <f>M4/L4</f>
        <v>44.798444657502806</v>
      </c>
      <c r="O4" s="47">
        <f>N4*(1.02)^(-2)*(1-(1/1.02)^4)/(1-1/1.02)</f>
        <v>167.23561115524043</v>
      </c>
    </row>
    <row r="5" spans="1:15" ht="12.75">
      <c r="A5" s="16" t="s">
        <v>13</v>
      </c>
      <c r="B5" s="1">
        <v>0.927795434459938</v>
      </c>
      <c r="C5" s="13"/>
      <c r="D5" s="13"/>
      <c r="E5" s="13"/>
      <c r="F5" s="13"/>
      <c r="G5" s="14"/>
      <c r="H5" s="39"/>
      <c r="I5" s="13">
        <v>244</v>
      </c>
      <c r="J5" s="13">
        <f t="shared" si="0"/>
        <v>2857.432</v>
      </c>
      <c r="K5" s="13">
        <f>I5*J5-50*J5</f>
        <v>554341.808</v>
      </c>
      <c r="L5" s="13">
        <f>J5-J4</f>
        <v>18.774000000000342</v>
      </c>
      <c r="M5" s="13">
        <f>K5-K4</f>
        <v>803.4980000001378</v>
      </c>
      <c r="N5" s="13">
        <f>M5/L5</f>
        <v>42.798444657511624</v>
      </c>
      <c r="O5" s="14">
        <f>N5*(1.02)^(-2)*(1-(1/1.02)^4)/(1-1/1.02)</f>
        <v>159.76947645199044</v>
      </c>
    </row>
    <row r="6" spans="1:15" ht="12.75">
      <c r="A6" s="16" t="s">
        <v>14</v>
      </c>
      <c r="B6" s="1">
        <v>0.9237840697077123</v>
      </c>
      <c r="C6" s="13"/>
      <c r="D6" s="13"/>
      <c r="E6" s="13"/>
      <c r="F6" s="13"/>
      <c r="G6" s="14"/>
      <c r="H6" s="12"/>
      <c r="I6" s="13">
        <v>243</v>
      </c>
      <c r="J6" s="13">
        <f t="shared" si="0"/>
        <v>2876.205999999999</v>
      </c>
      <c r="K6" s="13">
        <f>I6*J6-50*J6</f>
        <v>555107.7579999999</v>
      </c>
      <c r="L6" s="13">
        <f>J6-J5</f>
        <v>18.773999999999432</v>
      </c>
      <c r="M6" s="13">
        <f>K6-K5</f>
        <v>765.9499999999534</v>
      </c>
      <c r="N6" s="13">
        <f>M6/L6</f>
        <v>40.798444657503815</v>
      </c>
      <c r="O6" s="14">
        <f>N6*(1.02)^(-2)*(1-(1/1.02)^4)/(1-1/1.02)</f>
        <v>152.30334174867835</v>
      </c>
    </row>
    <row r="7" spans="1:15" ht="12.75">
      <c r="A7" s="16" t="s">
        <v>15</v>
      </c>
      <c r="B7" s="1">
        <v>516.5999404471054</v>
      </c>
      <c r="C7" s="13"/>
      <c r="D7" s="13"/>
      <c r="E7" s="13"/>
      <c r="F7" s="13"/>
      <c r="G7" s="14"/>
      <c r="H7" s="12"/>
      <c r="I7" s="13"/>
      <c r="J7" s="13"/>
      <c r="K7" s="13"/>
      <c r="L7" s="13"/>
      <c r="M7" s="13"/>
      <c r="N7" s="13"/>
      <c r="O7" s="14"/>
    </row>
    <row r="8" spans="1:15" ht="13.5" thickBot="1">
      <c r="A8" s="17" t="s">
        <v>16</v>
      </c>
      <c r="B8" s="2">
        <v>20</v>
      </c>
      <c r="C8" s="13"/>
      <c r="D8" s="13"/>
      <c r="E8" s="13"/>
      <c r="F8" s="13"/>
      <c r="G8" s="14"/>
      <c r="H8" s="12"/>
      <c r="I8" s="35" t="s">
        <v>68</v>
      </c>
      <c r="J8" s="35"/>
      <c r="K8" s="35"/>
      <c r="L8" s="13">
        <f>320/1.02-320*0.51/1.02^5</f>
        <v>165.91022203183618</v>
      </c>
      <c r="M8" s="13"/>
      <c r="N8" s="13"/>
      <c r="O8" s="14"/>
    </row>
    <row r="9" spans="1:15" ht="12.75">
      <c r="A9" s="12"/>
      <c r="B9" s="13"/>
      <c r="C9" s="13"/>
      <c r="D9" s="13"/>
      <c r="E9" s="13"/>
      <c r="F9" s="13"/>
      <c r="G9" s="14"/>
      <c r="H9" s="12"/>
      <c r="I9" s="13"/>
      <c r="J9" s="13"/>
      <c r="K9" s="13"/>
      <c r="L9" s="13"/>
      <c r="M9" s="13"/>
      <c r="N9" s="13"/>
      <c r="O9" s="14"/>
    </row>
    <row r="10" spans="1:15" ht="13.5" thickBot="1">
      <c r="A10" s="12" t="s">
        <v>17</v>
      </c>
      <c r="B10" s="13"/>
      <c r="C10" s="13"/>
      <c r="D10" s="13"/>
      <c r="E10" s="13"/>
      <c r="F10" s="13"/>
      <c r="G10" s="14"/>
      <c r="H10" s="12"/>
      <c r="I10" s="13"/>
      <c r="J10" s="13"/>
      <c r="K10" s="13"/>
      <c r="L10" s="13"/>
      <c r="M10" s="13"/>
      <c r="N10" s="13"/>
      <c r="O10" s="14"/>
    </row>
    <row r="11" spans="1:15" ht="12.75">
      <c r="A11" s="18"/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14"/>
      <c r="H11" s="12"/>
      <c r="I11" s="48" t="s">
        <v>3</v>
      </c>
      <c r="J11" s="48" t="s">
        <v>43</v>
      </c>
      <c r="K11" s="48" t="s">
        <v>45</v>
      </c>
      <c r="L11" s="44" t="s">
        <v>47</v>
      </c>
      <c r="M11" s="44" t="s">
        <v>46</v>
      </c>
      <c r="N11" s="44" t="s">
        <v>48</v>
      </c>
      <c r="O11" s="49" t="s">
        <v>49</v>
      </c>
    </row>
    <row r="12" spans="1:15" ht="12.75">
      <c r="A12" s="16" t="s">
        <v>18</v>
      </c>
      <c r="B12" s="1">
        <v>1</v>
      </c>
      <c r="C12" s="1">
        <v>61726091.827540845</v>
      </c>
      <c r="D12" s="1">
        <v>61726091.827540845</v>
      </c>
      <c r="E12" s="1">
        <v>231.2917153557673</v>
      </c>
      <c r="F12" s="1">
        <v>1.0231877885809195E-11</v>
      </c>
      <c r="G12" s="14"/>
      <c r="H12" s="12"/>
      <c r="I12" s="13">
        <v>251</v>
      </c>
      <c r="J12" s="13">
        <f>7438.288-18.774*I12</f>
        <v>2726.013999999999</v>
      </c>
      <c r="K12" s="13">
        <f>I12*J12-50*J12</f>
        <v>547928.8139999999</v>
      </c>
      <c r="L12" s="44"/>
      <c r="M12" s="44"/>
      <c r="N12" s="44"/>
      <c r="O12" s="45"/>
    </row>
    <row r="13" spans="1:15" ht="12.75">
      <c r="A13" s="16" t="s">
        <v>19</v>
      </c>
      <c r="B13" s="1">
        <v>18</v>
      </c>
      <c r="C13" s="1">
        <v>4803758.972459151</v>
      </c>
      <c r="D13" s="1">
        <v>266875.49846995284</v>
      </c>
      <c r="E13" s="1"/>
      <c r="F13" s="1"/>
      <c r="G13" s="14"/>
      <c r="H13" s="39" t="s">
        <v>73</v>
      </c>
      <c r="I13" s="13">
        <v>250</v>
      </c>
      <c r="J13" s="13">
        <f t="shared" si="0"/>
        <v>2744.7879999999996</v>
      </c>
      <c r="K13" s="13">
        <f>I13*J13-50*J13</f>
        <v>548957.5999999999</v>
      </c>
      <c r="L13" s="13">
        <f>J13-J12</f>
        <v>18.774000000000342</v>
      </c>
      <c r="M13" s="13">
        <f>K13-K12</f>
        <v>1028.7859999999637</v>
      </c>
      <c r="N13" s="13">
        <f>M13/L13</f>
        <v>54.79844465750213</v>
      </c>
      <c r="O13" s="14">
        <f>N13*(1.02)^(-2)*(1-(1/1.02)^3)/(1-1/1.02)</f>
        <v>154.9336450145933</v>
      </c>
    </row>
    <row r="14" spans="1:15" ht="13.5" thickBot="1">
      <c r="A14" s="17" t="s">
        <v>20</v>
      </c>
      <c r="B14" s="2">
        <v>19</v>
      </c>
      <c r="C14" s="2">
        <v>66529850.8</v>
      </c>
      <c r="D14" s="2"/>
      <c r="E14" s="2"/>
      <c r="F14" s="2"/>
      <c r="G14" s="14"/>
      <c r="H14" s="39"/>
      <c r="I14" s="46">
        <v>249</v>
      </c>
      <c r="J14" s="46">
        <f t="shared" si="0"/>
        <v>2763.561999999999</v>
      </c>
      <c r="K14" s="46">
        <f>I14*J14-50*J14</f>
        <v>549948.8379999998</v>
      </c>
      <c r="L14" s="46">
        <f>J14-J13</f>
        <v>18.773999999999432</v>
      </c>
      <c r="M14" s="46">
        <f>K14-K13</f>
        <v>991.2379999998957</v>
      </c>
      <c r="N14" s="46">
        <f>M14/L14</f>
        <v>52.7984446575011</v>
      </c>
      <c r="O14" s="47">
        <f>N14*(1.02)^(-2)*(1-(1/1.02)^3)/(1-1/1.02)</f>
        <v>149.27897193096734</v>
      </c>
    </row>
    <row r="15" spans="1:15" ht="13.5" thickBot="1">
      <c r="A15" s="12"/>
      <c r="B15" s="13"/>
      <c r="C15" s="13"/>
      <c r="D15" s="13"/>
      <c r="E15" s="13"/>
      <c r="F15" s="13"/>
      <c r="G15" s="14"/>
      <c r="H15" s="39"/>
      <c r="I15" s="13">
        <v>248</v>
      </c>
      <c r="J15" s="13">
        <f t="shared" si="0"/>
        <v>2782.3359999999993</v>
      </c>
      <c r="K15" s="13">
        <f>I15*J15-50*J15</f>
        <v>550902.5279999999</v>
      </c>
      <c r="L15" s="13">
        <f>J15-J14</f>
        <v>18.774000000000342</v>
      </c>
      <c r="M15" s="13">
        <f>K15-K14</f>
        <v>953.690000000177</v>
      </c>
      <c r="N15" s="13">
        <f>M15/L15</f>
        <v>50.79844465751356</v>
      </c>
      <c r="O15" s="14">
        <f>N15*(1.02)^(-2)*(1-(1/1.02)^3)/(1-1/1.02)</f>
        <v>143.6242988473795</v>
      </c>
    </row>
    <row r="16" spans="1:15" ht="12.75">
      <c r="A16" s="18"/>
      <c r="B16" s="3" t="s">
        <v>27</v>
      </c>
      <c r="C16" s="3" t="s">
        <v>15</v>
      </c>
      <c r="D16" s="3" t="s">
        <v>28</v>
      </c>
      <c r="E16" s="3" t="s">
        <v>29</v>
      </c>
      <c r="F16" s="3" t="s">
        <v>30</v>
      </c>
      <c r="G16" s="19" t="s">
        <v>31</v>
      </c>
      <c r="H16" s="12"/>
      <c r="I16" s="13">
        <v>247</v>
      </c>
      <c r="J16" s="13">
        <f t="shared" si="0"/>
        <v>2801.1099999999997</v>
      </c>
      <c r="K16" s="13">
        <f>I16*J16-50*J16</f>
        <v>551818.6699999999</v>
      </c>
      <c r="L16" s="13">
        <f>J16-J15</f>
        <v>18.774000000000342</v>
      </c>
      <c r="M16" s="13">
        <f>K16-K15</f>
        <v>916.1419999999925</v>
      </c>
      <c r="N16" s="13">
        <f>M16/L16</f>
        <v>48.79844465750377</v>
      </c>
      <c r="O16" s="14">
        <f>N16*(1.02)^(-2)*(1-(1/1.02)^3)/(1-1/1.02)</f>
        <v>137.96962576372871</v>
      </c>
    </row>
    <row r="17" spans="1:15" ht="12.75">
      <c r="A17" s="16" t="s">
        <v>21</v>
      </c>
      <c r="B17" s="5">
        <v>7438.287595597021</v>
      </c>
      <c r="C17" s="5">
        <v>335.65346549530216</v>
      </c>
      <c r="D17" s="5">
        <v>22.160616112277644</v>
      </c>
      <c r="E17" s="5">
        <v>1.6277142865968387E-14</v>
      </c>
      <c r="F17" s="5">
        <v>6733.1052863132</v>
      </c>
      <c r="G17" s="20">
        <v>8143.4699048808425</v>
      </c>
      <c r="H17" s="12"/>
      <c r="I17" s="13"/>
      <c r="J17" s="13"/>
      <c r="K17" s="13"/>
      <c r="L17" s="13"/>
      <c r="M17" s="13"/>
      <c r="N17" s="13"/>
      <c r="O17" s="14"/>
    </row>
    <row r="18" spans="1:15" ht="13.5" thickBot="1">
      <c r="A18" s="17" t="s">
        <v>3</v>
      </c>
      <c r="B18" s="6">
        <v>-18.77355109908743</v>
      </c>
      <c r="C18" s="6">
        <v>1.2344297807036748</v>
      </c>
      <c r="D18" s="6">
        <v>-15.208277856344123</v>
      </c>
      <c r="E18" s="6">
        <v>1.0231877885809304E-11</v>
      </c>
      <c r="F18" s="6">
        <v>-21.36699383956622</v>
      </c>
      <c r="G18" s="21">
        <v>-16.180108358608642</v>
      </c>
      <c r="H18" s="22"/>
      <c r="I18" s="50" t="s">
        <v>68</v>
      </c>
      <c r="J18" s="50"/>
      <c r="K18" s="50"/>
      <c r="L18" s="23">
        <f>320/1.02-320*0.7*0.9^2/1.02^4</f>
        <v>146.1029760978277</v>
      </c>
      <c r="M18" s="23"/>
      <c r="N18" s="23"/>
      <c r="O18" s="24"/>
    </row>
    <row r="20" spans="1:6" ht="12.75">
      <c r="A20" s="13"/>
      <c r="E20" s="13"/>
      <c r="F20" s="13"/>
    </row>
    <row r="21" ht="13.5" thickBot="1"/>
    <row r="22" spans="1:15" ht="12.75">
      <c r="A22" s="9" t="s">
        <v>66</v>
      </c>
      <c r="B22" s="10"/>
      <c r="C22" s="10"/>
      <c r="D22" s="10"/>
      <c r="E22" s="10"/>
      <c r="F22" s="10"/>
      <c r="G22" s="11"/>
      <c r="H22" s="40"/>
      <c r="I22" s="41" t="s">
        <v>3</v>
      </c>
      <c r="J22" s="41" t="s">
        <v>43</v>
      </c>
      <c r="K22" s="41" t="s">
        <v>45</v>
      </c>
      <c r="L22" s="42" t="s">
        <v>47</v>
      </c>
      <c r="M22" s="42" t="s">
        <v>46</v>
      </c>
      <c r="N22" s="42" t="s">
        <v>48</v>
      </c>
      <c r="O22" s="43" t="s">
        <v>49</v>
      </c>
    </row>
    <row r="23" spans="1:15" ht="13.5" thickBot="1">
      <c r="A23" s="12"/>
      <c r="B23" s="13"/>
      <c r="C23" s="13"/>
      <c r="D23" s="13"/>
      <c r="E23" s="13"/>
      <c r="F23" s="13"/>
      <c r="G23" s="14"/>
      <c r="H23" s="12"/>
      <c r="I23" s="13">
        <v>408</v>
      </c>
      <c r="J23" s="13">
        <f>9336.036-15.813*I23</f>
        <v>2884.3319999999994</v>
      </c>
      <c r="K23" s="13">
        <f>I23*J23-220*J23</f>
        <v>542254.4159999999</v>
      </c>
      <c r="L23" s="44"/>
      <c r="M23" s="44"/>
      <c r="N23" s="44"/>
      <c r="O23" s="45"/>
    </row>
    <row r="24" spans="1:15" ht="12.75">
      <c r="A24" s="15" t="s">
        <v>11</v>
      </c>
      <c r="B24" s="4"/>
      <c r="C24" s="13"/>
      <c r="D24" s="13"/>
      <c r="E24" s="13"/>
      <c r="F24" s="13"/>
      <c r="G24" s="14"/>
      <c r="H24" s="39" t="s">
        <v>72</v>
      </c>
      <c r="I24" s="13">
        <v>407</v>
      </c>
      <c r="J24" s="13">
        <f aca="true" t="shared" si="1" ref="J24:J37">9336.036-15.813*I24</f>
        <v>2900.1449999999995</v>
      </c>
      <c r="K24" s="13">
        <f>I24*J24-220*J24</f>
        <v>542327.115</v>
      </c>
      <c r="L24" s="13">
        <f>J24-J23</f>
        <v>15.813000000000102</v>
      </c>
      <c r="M24" s="13">
        <f>K24-K23</f>
        <v>72.69900000013877</v>
      </c>
      <c r="N24" s="13">
        <f>M24/L24</f>
        <v>4.597419844440543</v>
      </c>
      <c r="O24" s="14">
        <f>N24*(1.02)^(-2)*(1-(1/1.02)^4)/(1-1/1.02)</f>
        <v>17.16247792306954</v>
      </c>
    </row>
    <row r="25" spans="1:15" ht="12.75">
      <c r="A25" s="16" t="s">
        <v>12</v>
      </c>
      <c r="B25" s="1">
        <v>0.9949520076111326</v>
      </c>
      <c r="C25" s="13"/>
      <c r="D25" s="13"/>
      <c r="E25" s="13"/>
      <c r="F25" s="13"/>
      <c r="G25" s="14"/>
      <c r="H25" s="39"/>
      <c r="I25" s="46">
        <v>406</v>
      </c>
      <c r="J25" s="46">
        <f t="shared" si="1"/>
        <v>2915.9579999999996</v>
      </c>
      <c r="K25" s="46">
        <f>I25*J25-220*J25</f>
        <v>542368.188</v>
      </c>
      <c r="L25" s="46">
        <f>J25-J24</f>
        <v>15.813000000000102</v>
      </c>
      <c r="M25" s="46">
        <f>K25-K24</f>
        <v>41.072999999974854</v>
      </c>
      <c r="N25" s="46">
        <f>M25/L25</f>
        <v>2.5974198444301897</v>
      </c>
      <c r="O25" s="47">
        <f>N25*(1.02)^(-2)*(1-(1/1.02)^4)/(1-1/1.02)</f>
        <v>9.696343219747977</v>
      </c>
    </row>
    <row r="26" spans="1:15" ht="12.75">
      <c r="A26" s="16" t="s">
        <v>13</v>
      </c>
      <c r="B26" s="1">
        <v>0.9899294974494233</v>
      </c>
      <c r="C26" s="13"/>
      <c r="D26" s="13"/>
      <c r="E26" s="13"/>
      <c r="F26" s="13"/>
      <c r="G26" s="14"/>
      <c r="H26" s="39"/>
      <c r="I26" s="13">
        <v>405</v>
      </c>
      <c r="J26" s="13">
        <f t="shared" si="1"/>
        <v>2931.7709999999997</v>
      </c>
      <c r="K26" s="13">
        <f>I26*J26-220*J26</f>
        <v>542377.6349999999</v>
      </c>
      <c r="L26" s="13">
        <f>J26-J25</f>
        <v>15.813000000000102</v>
      </c>
      <c r="M26" s="13">
        <f>K26-K25</f>
        <v>9.446999999927357</v>
      </c>
      <c r="N26" s="13">
        <f>M26/L26</f>
        <v>0.5974198444271989</v>
      </c>
      <c r="O26" s="14">
        <f>N26*(1.02)^(-2)*(1-(1/1.02)^4)/(1-1/1.02)</f>
        <v>2.2302085164538954</v>
      </c>
    </row>
    <row r="27" spans="1:15" ht="12.75">
      <c r="A27" s="16" t="s">
        <v>14</v>
      </c>
      <c r="B27" s="1">
        <v>0.9893700250855022</v>
      </c>
      <c r="C27" s="13"/>
      <c r="D27" s="13"/>
      <c r="E27" s="13"/>
      <c r="F27" s="13"/>
      <c r="G27" s="14"/>
      <c r="H27" s="12"/>
      <c r="I27" s="13">
        <v>404</v>
      </c>
      <c r="J27" s="13">
        <f t="shared" si="1"/>
        <v>2947.584</v>
      </c>
      <c r="K27" s="13">
        <f>I27*J27-220*J27</f>
        <v>542355.456</v>
      </c>
      <c r="L27" s="13">
        <f>J27-J26</f>
        <v>15.813000000000102</v>
      </c>
      <c r="M27" s="13">
        <f>K27-K26</f>
        <v>-22.17899999988731</v>
      </c>
      <c r="N27" s="13">
        <f>M27/L27</f>
        <v>-1.402580155561068</v>
      </c>
      <c r="O27" s="14">
        <f>N27*(1.02)^(-2)*(1-(1/1.02)^4)/(1-1/1.02)</f>
        <v>-5.23592618678522</v>
      </c>
    </row>
    <row r="28" spans="1:15" ht="12.75">
      <c r="A28" s="16" t="s">
        <v>15</v>
      </c>
      <c r="B28" s="1">
        <v>168.04368672681602</v>
      </c>
      <c r="C28" s="13"/>
      <c r="D28" s="13"/>
      <c r="E28" s="13"/>
      <c r="F28" s="13"/>
      <c r="G28" s="14"/>
      <c r="H28" s="12"/>
      <c r="I28" s="13"/>
      <c r="J28" s="13"/>
      <c r="K28" s="13"/>
      <c r="L28" s="13"/>
      <c r="M28" s="13"/>
      <c r="N28" s="13"/>
      <c r="O28" s="14"/>
    </row>
    <row r="29" spans="1:15" ht="13.5" thickBot="1">
      <c r="A29" s="17" t="s">
        <v>16</v>
      </c>
      <c r="B29" s="2">
        <v>20</v>
      </c>
      <c r="C29" s="13"/>
      <c r="D29" s="13"/>
      <c r="E29" s="13"/>
      <c r="F29" s="13"/>
      <c r="G29" s="14"/>
      <c r="H29" s="12"/>
      <c r="I29" s="35" t="s">
        <v>68</v>
      </c>
      <c r="J29" s="35"/>
      <c r="K29" s="35"/>
      <c r="L29" s="13">
        <f>20/1.02-20*0.77/1.02^5</f>
        <v>5.659588665874198</v>
      </c>
      <c r="M29" s="13"/>
      <c r="N29" s="13"/>
      <c r="O29" s="14"/>
    </row>
    <row r="30" spans="1:15" ht="12.75">
      <c r="A30" s="12"/>
      <c r="B30" s="13"/>
      <c r="C30" s="13"/>
      <c r="D30" s="13"/>
      <c r="E30" s="13"/>
      <c r="F30" s="13"/>
      <c r="G30" s="14"/>
      <c r="H30" s="12"/>
      <c r="I30" s="13"/>
      <c r="J30" s="13"/>
      <c r="K30" s="13"/>
      <c r="L30" s="13"/>
      <c r="M30" s="13"/>
      <c r="N30" s="13"/>
      <c r="O30" s="14"/>
    </row>
    <row r="31" spans="1:15" ht="13.5" thickBot="1">
      <c r="A31" s="12" t="s">
        <v>17</v>
      </c>
      <c r="B31" s="13"/>
      <c r="C31" s="13"/>
      <c r="D31" s="13"/>
      <c r="E31" s="13"/>
      <c r="F31" s="13"/>
      <c r="G31" s="14"/>
      <c r="H31" s="12"/>
      <c r="I31" s="13"/>
      <c r="J31" s="13"/>
      <c r="K31" s="13"/>
      <c r="L31" s="13"/>
      <c r="M31" s="13"/>
      <c r="N31" s="13"/>
      <c r="O31" s="14"/>
    </row>
    <row r="32" spans="1:15" ht="12.75">
      <c r="A32" s="18"/>
      <c r="B32" s="3" t="s">
        <v>22</v>
      </c>
      <c r="C32" s="3" t="s">
        <v>23</v>
      </c>
      <c r="D32" s="3" t="s">
        <v>24</v>
      </c>
      <c r="E32" s="3" t="s">
        <v>25</v>
      </c>
      <c r="F32" s="3" t="s">
        <v>26</v>
      </c>
      <c r="G32" s="14"/>
      <c r="H32" s="12"/>
      <c r="I32" s="48" t="s">
        <v>3</v>
      </c>
      <c r="J32" s="48" t="s">
        <v>43</v>
      </c>
      <c r="K32" s="48" t="s">
        <v>45</v>
      </c>
      <c r="L32" s="44" t="s">
        <v>47</v>
      </c>
      <c r="M32" s="44" t="s">
        <v>46</v>
      </c>
      <c r="N32" s="44" t="s">
        <v>48</v>
      </c>
      <c r="O32" s="49" t="s">
        <v>49</v>
      </c>
    </row>
    <row r="33" spans="1:15" ht="12.75">
      <c r="A33" s="16" t="s">
        <v>18</v>
      </c>
      <c r="B33" s="1">
        <v>1</v>
      </c>
      <c r="C33" s="1">
        <v>49965475.948322676</v>
      </c>
      <c r="D33" s="1">
        <v>49965475.948322676</v>
      </c>
      <c r="E33" s="1">
        <v>1769.3983854926173</v>
      </c>
      <c r="F33" s="1">
        <v>1.9847807581518684E-19</v>
      </c>
      <c r="G33" s="14"/>
      <c r="H33" s="12"/>
      <c r="I33" s="13">
        <v>408</v>
      </c>
      <c r="J33" s="13">
        <f>9336.036-15.813*I33</f>
        <v>2884.3319999999994</v>
      </c>
      <c r="K33" s="13">
        <f>I33*J33-220*J33</f>
        <v>542254.4159999999</v>
      </c>
      <c r="L33" s="44"/>
      <c r="M33" s="44"/>
      <c r="N33" s="44"/>
      <c r="O33" s="45"/>
    </row>
    <row r="34" spans="1:15" ht="12.75">
      <c r="A34" s="16" t="s">
        <v>19</v>
      </c>
      <c r="B34" s="1">
        <v>18</v>
      </c>
      <c r="C34" s="1">
        <v>508296.2516773251</v>
      </c>
      <c r="D34" s="1">
        <v>28238.680648740283</v>
      </c>
      <c r="E34" s="1"/>
      <c r="F34" s="1"/>
      <c r="G34" s="14"/>
      <c r="H34" s="39" t="s">
        <v>73</v>
      </c>
      <c r="I34" s="13">
        <v>407</v>
      </c>
      <c r="J34" s="13">
        <f t="shared" si="1"/>
        <v>2900.1449999999995</v>
      </c>
      <c r="K34" s="13">
        <f>I34*J34-220*J34</f>
        <v>542327.115</v>
      </c>
      <c r="L34" s="13">
        <f>J34-J33</f>
        <v>15.813000000000102</v>
      </c>
      <c r="M34" s="13">
        <f>K34-K33</f>
        <v>72.69900000013877</v>
      </c>
      <c r="N34" s="13">
        <f>M34/L34</f>
        <v>4.597419844440543</v>
      </c>
      <c r="O34" s="14">
        <f>N34*(1.02)^(-2)*(1-(1/1.02)^3)/(1-1/1.02)</f>
        <v>12.998453124236288</v>
      </c>
    </row>
    <row r="35" spans="1:15" ht="13.5" thickBot="1">
      <c r="A35" s="17" t="s">
        <v>20</v>
      </c>
      <c r="B35" s="2">
        <v>19</v>
      </c>
      <c r="C35" s="2">
        <v>50473772.2</v>
      </c>
      <c r="D35" s="2"/>
      <c r="E35" s="2"/>
      <c r="F35" s="2"/>
      <c r="G35" s="14"/>
      <c r="H35" s="39"/>
      <c r="I35" s="46">
        <v>406</v>
      </c>
      <c r="J35" s="46">
        <f t="shared" si="1"/>
        <v>2915.9579999999996</v>
      </c>
      <c r="K35" s="46">
        <f>I35*J35-220*J35</f>
        <v>542368.188</v>
      </c>
      <c r="L35" s="46">
        <f>J35-J34</f>
        <v>15.813000000000102</v>
      </c>
      <c r="M35" s="46">
        <f>K35-K34</f>
        <v>41.072999999974854</v>
      </c>
      <c r="N35" s="46">
        <f>M35/L35</f>
        <v>2.5974198444301897</v>
      </c>
      <c r="O35" s="14">
        <f>N35*(1.02)^(-2)*(1-(1/1.02)^3)/(1-1/1.02)</f>
        <v>7.34378004058393</v>
      </c>
    </row>
    <row r="36" spans="1:15" ht="13.5" thickBot="1">
      <c r="A36" s="12"/>
      <c r="B36" s="13"/>
      <c r="C36" s="13"/>
      <c r="D36" s="13"/>
      <c r="E36" s="13"/>
      <c r="F36" s="13"/>
      <c r="G36" s="14"/>
      <c r="H36" s="39"/>
      <c r="I36" s="13">
        <v>405</v>
      </c>
      <c r="J36" s="13">
        <f t="shared" si="1"/>
        <v>2931.7709999999997</v>
      </c>
      <c r="K36" s="13">
        <f>I36*J36-220*J36</f>
        <v>542377.6349999999</v>
      </c>
      <c r="L36" s="13">
        <f>J36-J35</f>
        <v>15.813000000000102</v>
      </c>
      <c r="M36" s="13">
        <f>K36-K35</f>
        <v>9.446999999927357</v>
      </c>
      <c r="N36" s="13">
        <f>M36/L36</f>
        <v>0.5974198444271989</v>
      </c>
      <c r="O36" s="14">
        <f>N36*(1.02)^(-2)*(1-(1/1.02)^3)/(1-1/1.02)</f>
        <v>1.689106956952387</v>
      </c>
    </row>
    <row r="37" spans="1:15" ht="12.75">
      <c r="A37" s="18"/>
      <c r="B37" s="3" t="s">
        <v>27</v>
      </c>
      <c r="C37" s="3" t="s">
        <v>15</v>
      </c>
      <c r="D37" s="3" t="s">
        <v>28</v>
      </c>
      <c r="E37" s="3" t="s">
        <v>29</v>
      </c>
      <c r="F37" s="3" t="s">
        <v>30</v>
      </c>
      <c r="G37" s="19" t="s">
        <v>31</v>
      </c>
      <c r="H37" s="12"/>
      <c r="I37" s="13">
        <v>404</v>
      </c>
      <c r="J37" s="13">
        <f t="shared" si="1"/>
        <v>2947.584</v>
      </c>
      <c r="K37" s="13">
        <f>I37*J37-220*J37</f>
        <v>542355.456</v>
      </c>
      <c r="L37" s="13">
        <f>J37-J36</f>
        <v>15.813000000000102</v>
      </c>
      <c r="M37" s="13">
        <f>K37-K36</f>
        <v>-22.17899999988731</v>
      </c>
      <c r="N37" s="13">
        <f>M37/L37</f>
        <v>-1.402580155561068</v>
      </c>
      <c r="O37" s="14">
        <f>N37*(1.02)^(-2)*(1-(1/1.02)^3)/(1-1/1.02)</f>
        <v>-3.965566126637526</v>
      </c>
    </row>
    <row r="38" spans="1:15" ht="12.75">
      <c r="A38" s="16" t="s">
        <v>21</v>
      </c>
      <c r="B38" s="5">
        <v>9336.036110407676</v>
      </c>
      <c r="C38" s="5">
        <v>102.71942398637182</v>
      </c>
      <c r="D38" s="5">
        <v>90.88871167780617</v>
      </c>
      <c r="E38" s="5">
        <v>2.0158874022040186E-25</v>
      </c>
      <c r="F38" s="5">
        <v>9120.23044158157</v>
      </c>
      <c r="G38" s="20">
        <v>9551.841779233782</v>
      </c>
      <c r="H38" s="12"/>
      <c r="I38" s="13"/>
      <c r="J38" s="13"/>
      <c r="K38" s="13"/>
      <c r="L38" s="13"/>
      <c r="M38" s="13"/>
      <c r="N38" s="13"/>
      <c r="O38" s="14"/>
    </row>
    <row r="39" spans="1:15" ht="13.5" thickBot="1">
      <c r="A39" s="17" t="s">
        <v>3</v>
      </c>
      <c r="B39" s="6">
        <v>-15.81335474010097</v>
      </c>
      <c r="C39" s="6">
        <v>0.3759336490120897</v>
      </c>
      <c r="D39" s="6">
        <v>-42.06421740021582</v>
      </c>
      <c r="E39" s="6">
        <v>1.984780758151857E-19</v>
      </c>
      <c r="F39" s="6">
        <v>-16.603162640212012</v>
      </c>
      <c r="G39" s="21">
        <v>-15.023546839989926</v>
      </c>
      <c r="H39" s="22"/>
      <c r="I39" s="50" t="s">
        <v>68</v>
      </c>
      <c r="J39" s="50"/>
      <c r="K39" s="50"/>
      <c r="L39" s="23">
        <f>20/1.02-20*0.9*0.95^2/1.02^4</f>
        <v>4.599974191454178</v>
      </c>
      <c r="M39" s="23"/>
      <c r="N39" s="23"/>
      <c r="O39" s="24"/>
    </row>
    <row r="41" spans="2:3" ht="12.75">
      <c r="B41" s="34"/>
      <c r="C41" s="34"/>
    </row>
    <row r="42" ht="13.5" thickBot="1"/>
    <row r="43" spans="1:16" ht="12.75">
      <c r="A43" s="9" t="s">
        <v>67</v>
      </c>
      <c r="B43" s="10"/>
      <c r="C43" s="10"/>
      <c r="D43" s="10"/>
      <c r="E43" s="10"/>
      <c r="F43" s="10"/>
      <c r="G43" s="11"/>
      <c r="H43" s="51"/>
      <c r="I43" s="41" t="s">
        <v>3</v>
      </c>
      <c r="J43" s="41" t="s">
        <v>43</v>
      </c>
      <c r="K43" s="41" t="s">
        <v>45</v>
      </c>
      <c r="L43" s="42" t="s">
        <v>47</v>
      </c>
      <c r="M43" s="42" t="s">
        <v>46</v>
      </c>
      <c r="N43" s="42" t="s">
        <v>48</v>
      </c>
      <c r="O43" s="41" t="s">
        <v>49</v>
      </c>
      <c r="P43" s="43" t="s">
        <v>49</v>
      </c>
    </row>
    <row r="44" spans="1:16" ht="13.5" thickBot="1">
      <c r="A44" s="12"/>
      <c r="B44" s="13"/>
      <c r="C44" s="13"/>
      <c r="D44" s="13"/>
      <c r="E44" s="13"/>
      <c r="F44" s="13"/>
      <c r="G44" s="14"/>
      <c r="H44" s="13"/>
      <c r="I44" s="13">
        <v>283</v>
      </c>
      <c r="J44" s="13">
        <f>6159.994-14.237*I44</f>
        <v>2130.923</v>
      </c>
      <c r="K44" s="13">
        <f>I44*J44-20*J44</f>
        <v>560432.749</v>
      </c>
      <c r="L44" s="44"/>
      <c r="M44" s="44"/>
      <c r="N44" s="44"/>
      <c r="O44" s="52" t="s">
        <v>69</v>
      </c>
      <c r="P44" s="45" t="s">
        <v>51</v>
      </c>
    </row>
    <row r="45" spans="1:16" ht="12.75">
      <c r="A45" s="15" t="s">
        <v>11</v>
      </c>
      <c r="B45" s="4"/>
      <c r="C45" s="13"/>
      <c r="D45" s="13"/>
      <c r="E45" s="13"/>
      <c r="F45" s="13"/>
      <c r="G45" s="14"/>
      <c r="H45" s="13"/>
      <c r="I45" s="13">
        <v>282</v>
      </c>
      <c r="J45" s="13">
        <f aca="true" t="shared" si="2" ref="J45:J63">6159.994-14.237*I45</f>
        <v>2145.16</v>
      </c>
      <c r="K45" s="13">
        <f>I45*J45-20*J45</f>
        <v>562031.92</v>
      </c>
      <c r="L45" s="13">
        <f>J45-J44</f>
        <v>14.23700000000008</v>
      </c>
      <c r="M45" s="13">
        <f>K45-K44</f>
        <v>1599.1710000000894</v>
      </c>
      <c r="N45" s="13">
        <f>M45/L45</f>
        <v>112.32499824401773</v>
      </c>
      <c r="O45" s="13">
        <f>N45*(1.02)^(-2)*(1-(1/1.02)^4)/(1-1/1.02)</f>
        <v>419.31678371792674</v>
      </c>
      <c r="P45" s="14">
        <f>N45/(1.02*1.05)*(1+1/1.05+1/(1.02*1.05)+1/(1.05*1.02^2))</f>
        <v>398.6946559628778</v>
      </c>
    </row>
    <row r="46" spans="1:16" ht="12.75">
      <c r="A46" s="16" t="s">
        <v>12</v>
      </c>
      <c r="B46" s="1">
        <v>0.9667093111761789</v>
      </c>
      <c r="C46" s="13"/>
      <c r="D46" s="13"/>
      <c r="E46" s="13"/>
      <c r="F46" s="13"/>
      <c r="G46" s="14"/>
      <c r="H46" s="39" t="s">
        <v>72</v>
      </c>
      <c r="I46" s="46">
        <v>281</v>
      </c>
      <c r="J46" s="46">
        <f t="shared" si="2"/>
        <v>2159.3969999999995</v>
      </c>
      <c r="K46" s="46">
        <f>I46*J46-20*J46</f>
        <v>563602.6169999999</v>
      </c>
      <c r="L46" s="46">
        <f>J46-J45</f>
        <v>14.236999999999625</v>
      </c>
      <c r="M46" s="46">
        <f>K46-K45</f>
        <v>1570.696999999811</v>
      </c>
      <c r="N46" s="46">
        <f>M46/L46</f>
        <v>110.3249982440017</v>
      </c>
      <c r="O46" s="46">
        <f>N46*(1.02)^(-2)*(1-(1/1.02)^4)/(1-1/1.02)</f>
        <v>411.850649014584</v>
      </c>
      <c r="P46" s="47">
        <f>N46/(1.02*1.05)*(1+1/1.05+1/(1.02*1.05)+1/(1.05*1.02^2))</f>
        <v>391.5957080492542</v>
      </c>
    </row>
    <row r="47" spans="1:16" ht="12.75">
      <c r="A47" s="16" t="s">
        <v>13</v>
      </c>
      <c r="B47" s="1">
        <v>0.9345268923147223</v>
      </c>
      <c r="C47" s="13"/>
      <c r="D47" s="13"/>
      <c r="E47" s="13"/>
      <c r="F47" s="13"/>
      <c r="G47" s="14"/>
      <c r="H47" s="39"/>
      <c r="I47" s="13">
        <v>280</v>
      </c>
      <c r="J47" s="13">
        <f t="shared" si="2"/>
        <v>2173.6339999999996</v>
      </c>
      <c r="K47" s="13">
        <f>I47*J47-20*J47</f>
        <v>565144.8399999999</v>
      </c>
      <c r="L47" s="13">
        <f>J47-J46</f>
        <v>14.23700000000008</v>
      </c>
      <c r="M47" s="13">
        <f>K47-K46</f>
        <v>1542.2229999999981</v>
      </c>
      <c r="N47" s="13">
        <f>M47/L47</f>
        <v>108.32499824401134</v>
      </c>
      <c r="O47" s="13">
        <f>N47*(1.02)^(-2)*(1-(1/1.02)^4)/(1-1/1.02)</f>
        <v>404.38451431133706</v>
      </c>
      <c r="P47" s="14">
        <f>N47/(1.02*1.05)*(1+1/1.05+1/(1.02*1.05)+1/(1.05*1.02^2))</f>
        <v>384.4967601357217</v>
      </c>
    </row>
    <row r="48" spans="1:16" ht="12.75">
      <c r="A48" s="16" t="s">
        <v>14</v>
      </c>
      <c r="B48" s="1">
        <v>0.9308894974433181</v>
      </c>
      <c r="C48" s="13"/>
      <c r="D48" s="13"/>
      <c r="E48" s="13"/>
      <c r="F48" s="13"/>
      <c r="G48" s="14"/>
      <c r="H48" s="39"/>
      <c r="I48" s="13">
        <v>279</v>
      </c>
      <c r="J48" s="13">
        <f t="shared" si="2"/>
        <v>2187.8709999999996</v>
      </c>
      <c r="K48" s="13">
        <f>I48*J48-20*J48</f>
        <v>566658.5889999998</v>
      </c>
      <c r="L48" s="13">
        <f>J48-J47</f>
        <v>14.23700000000008</v>
      </c>
      <c r="M48" s="13">
        <f>K48-K47</f>
        <v>1513.7489999999525</v>
      </c>
      <c r="N48" s="13">
        <f>M48/L48</f>
        <v>106.32499824400814</v>
      </c>
      <c r="O48" s="13">
        <f>N48*(1.02)^(-2)*(1-(1/1.02)^4)/(1-1/1.02)</f>
        <v>396.9183796080422</v>
      </c>
      <c r="P48" s="14">
        <f>N48/(1.02*1.05)*(1+1/1.05+1/(1.02*1.05)+1/(1.05*1.02^2))</f>
        <v>377.39781222214356</v>
      </c>
    </row>
    <row r="49" spans="1:16" ht="12.75">
      <c r="A49" s="16" t="s">
        <v>15</v>
      </c>
      <c r="B49" s="1">
        <v>406.56883698604844</v>
      </c>
      <c r="C49" s="13"/>
      <c r="D49" s="13"/>
      <c r="E49" s="13"/>
      <c r="F49" s="13"/>
      <c r="G49" s="14"/>
      <c r="H49" s="13"/>
      <c r="I49" s="46">
        <v>278</v>
      </c>
      <c r="J49" s="46">
        <f t="shared" si="2"/>
        <v>2202.1079999999997</v>
      </c>
      <c r="K49" s="46">
        <f>I49*J49-20*J49</f>
        <v>568143.864</v>
      </c>
      <c r="L49" s="46">
        <f>J49-J48</f>
        <v>14.23700000000008</v>
      </c>
      <c r="M49" s="46">
        <f>K49-K48</f>
        <v>1485.2750000001397</v>
      </c>
      <c r="N49" s="46">
        <f>M49/L49</f>
        <v>104.3249982440213</v>
      </c>
      <c r="O49" s="46">
        <f>N49*(1.02)^(-2)*(1-(1/1.02)^4)/(1-1/1.02)</f>
        <v>389.45224490480837</v>
      </c>
      <c r="P49" s="14">
        <f>N49/(1.02*1.05)*(1+1/1.05+1/(1.02*1.05)+1/(1.05*1.02^2))</f>
        <v>370.29886430862354</v>
      </c>
    </row>
    <row r="50" spans="1:16" ht="13.5" thickBot="1">
      <c r="A50" s="17" t="s">
        <v>16</v>
      </c>
      <c r="B50" s="2">
        <v>20</v>
      </c>
      <c r="C50" s="13"/>
      <c r="D50" s="13"/>
      <c r="E50" s="13"/>
      <c r="F50" s="13"/>
      <c r="G50" s="14"/>
      <c r="H50" s="13"/>
      <c r="I50" s="13">
        <v>277</v>
      </c>
      <c r="J50" s="13">
        <f t="shared" si="2"/>
        <v>2216.345</v>
      </c>
      <c r="K50" s="13">
        <f>I50*J50-20*J50</f>
        <v>569600.6649999999</v>
      </c>
      <c r="L50" s="13">
        <f>J50-J49</f>
        <v>14.23700000000008</v>
      </c>
      <c r="M50" s="13">
        <f>K50-K49</f>
        <v>1456.8009999999776</v>
      </c>
      <c r="N50" s="13">
        <f>M50/L50</f>
        <v>102.32499824400993</v>
      </c>
      <c r="O50" s="13">
        <f>N50*(1.02)^(-2)*(1-(1/1.02)^4)/(1-1/1.02)</f>
        <v>381.986110201483</v>
      </c>
      <c r="P50" s="14">
        <f>N50/(1.02*1.05)*(1+1/1.05+1/(1.02*1.05)+1/(1.05*1.02^2))</f>
        <v>363.1999163950165</v>
      </c>
    </row>
    <row r="51" spans="1:16" ht="12.75">
      <c r="A51" s="12"/>
      <c r="B51" s="13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3"/>
      <c r="O51" s="13"/>
      <c r="P51" s="14"/>
    </row>
    <row r="52" spans="1:16" ht="13.5" thickBot="1">
      <c r="A52" s="12" t="s">
        <v>17</v>
      </c>
      <c r="B52" s="13"/>
      <c r="C52" s="13"/>
      <c r="D52" s="13"/>
      <c r="E52" s="13"/>
      <c r="F52" s="13"/>
      <c r="G52" s="14"/>
      <c r="H52" s="13"/>
      <c r="I52" s="34" t="s">
        <v>68</v>
      </c>
      <c r="J52" s="34"/>
      <c r="K52" s="34"/>
      <c r="L52" s="13">
        <f>800/1.02-800*0.58/1.02^5</f>
        <v>364.0546297291151</v>
      </c>
      <c r="M52" s="13" t="s">
        <v>70</v>
      </c>
      <c r="N52" s="13"/>
      <c r="O52" s="13"/>
      <c r="P52" s="14"/>
    </row>
    <row r="53" spans="1:16" ht="12.75">
      <c r="A53" s="18"/>
      <c r="B53" s="3" t="s">
        <v>22</v>
      </c>
      <c r="C53" s="3" t="s">
        <v>23</v>
      </c>
      <c r="D53" s="3" t="s">
        <v>24</v>
      </c>
      <c r="E53" s="3" t="s">
        <v>25</v>
      </c>
      <c r="F53" s="3" t="s">
        <v>26</v>
      </c>
      <c r="G53" s="14"/>
      <c r="H53" s="13"/>
      <c r="I53" s="13"/>
      <c r="J53" s="13"/>
      <c r="K53" s="13"/>
      <c r="L53" s="13">
        <f>800/1.02-800*0.58/1.02^3/1.05^2</f>
        <v>387.72636655157595</v>
      </c>
      <c r="M53" s="13" t="s">
        <v>71</v>
      </c>
      <c r="N53" s="13"/>
      <c r="O53" s="13"/>
      <c r="P53" s="14"/>
    </row>
    <row r="54" spans="1:16" ht="12.75">
      <c r="A54" s="16" t="s">
        <v>18</v>
      </c>
      <c r="B54" s="1">
        <v>1</v>
      </c>
      <c r="C54" s="1">
        <v>42468754.854252614</v>
      </c>
      <c r="D54" s="1">
        <v>42468754.854252614</v>
      </c>
      <c r="E54" s="1">
        <v>256.92203496012576</v>
      </c>
      <c r="F54" s="1">
        <v>4.2270374557843386E-12</v>
      </c>
      <c r="G54" s="14"/>
      <c r="H54" s="13"/>
      <c r="I54" s="13"/>
      <c r="J54" s="13"/>
      <c r="K54" s="13"/>
      <c r="L54" s="13"/>
      <c r="M54" s="13"/>
      <c r="N54" s="13"/>
      <c r="O54" s="13"/>
      <c r="P54" s="14"/>
    </row>
    <row r="55" spans="1:16" ht="12.75">
      <c r="A55" s="16" t="s">
        <v>19</v>
      </c>
      <c r="B55" s="1">
        <v>18</v>
      </c>
      <c r="C55" s="1">
        <v>2975367.9457473843</v>
      </c>
      <c r="D55" s="1">
        <v>165298.219208188</v>
      </c>
      <c r="E55" s="1"/>
      <c r="F55" s="1"/>
      <c r="G55" s="14"/>
      <c r="H55" s="13"/>
      <c r="I55" s="13"/>
      <c r="J55" s="13"/>
      <c r="K55" s="13"/>
      <c r="L55" s="13"/>
      <c r="M55" s="13"/>
      <c r="N55" s="13"/>
      <c r="O55" s="13"/>
      <c r="P55" s="14"/>
    </row>
    <row r="56" spans="1:16" ht="13.5" thickBot="1">
      <c r="A56" s="17" t="s">
        <v>20</v>
      </c>
      <c r="B56" s="2">
        <v>19</v>
      </c>
      <c r="C56" s="2">
        <v>45444122.8</v>
      </c>
      <c r="D56" s="2"/>
      <c r="E56" s="2"/>
      <c r="F56" s="2"/>
      <c r="G56" s="14"/>
      <c r="H56" s="13"/>
      <c r="I56" s="48" t="s">
        <v>3</v>
      </c>
      <c r="J56" s="48" t="s">
        <v>43</v>
      </c>
      <c r="K56" s="48" t="s">
        <v>45</v>
      </c>
      <c r="L56" s="44" t="s">
        <v>47</v>
      </c>
      <c r="M56" s="44" t="s">
        <v>46</v>
      </c>
      <c r="N56" s="44" t="s">
        <v>48</v>
      </c>
      <c r="O56" s="48" t="s">
        <v>49</v>
      </c>
      <c r="P56" s="49" t="s">
        <v>49</v>
      </c>
    </row>
    <row r="57" spans="1:16" ht="13.5" thickBot="1">
      <c r="A57" s="12"/>
      <c r="B57" s="13"/>
      <c r="C57" s="13"/>
      <c r="D57" s="13"/>
      <c r="E57" s="13"/>
      <c r="F57" s="13"/>
      <c r="G57" s="14"/>
      <c r="H57" s="13"/>
      <c r="I57" s="13">
        <v>285</v>
      </c>
      <c r="J57" s="13">
        <f>6159.994-14.237*I57</f>
        <v>2102.4489999999996</v>
      </c>
      <c r="K57" s="13">
        <f>I57*J57-20*J57</f>
        <v>557148.9849999999</v>
      </c>
      <c r="L57" s="44"/>
      <c r="M57" s="44"/>
      <c r="N57" s="44"/>
      <c r="O57" s="52" t="s">
        <v>69</v>
      </c>
      <c r="P57" s="45" t="s">
        <v>51</v>
      </c>
    </row>
    <row r="58" spans="1:16" ht="12.75">
      <c r="A58" s="18"/>
      <c r="B58" s="3" t="s">
        <v>27</v>
      </c>
      <c r="C58" s="3" t="s">
        <v>15</v>
      </c>
      <c r="D58" s="3" t="s">
        <v>28</v>
      </c>
      <c r="E58" s="3" t="s">
        <v>29</v>
      </c>
      <c r="F58" s="3" t="s">
        <v>30</v>
      </c>
      <c r="G58" s="19" t="s">
        <v>31</v>
      </c>
      <c r="H58" s="13"/>
      <c r="I58" s="46">
        <v>284</v>
      </c>
      <c r="J58" s="46">
        <f t="shared" si="2"/>
        <v>2116.6859999999997</v>
      </c>
      <c r="K58" s="46">
        <f aca="true" t="shared" si="3" ref="K58:K63">I58*J58-20*J58</f>
        <v>558805.1039999999</v>
      </c>
      <c r="L58" s="46">
        <f>J58-J57</f>
        <v>14.23700000000008</v>
      </c>
      <c r="M58" s="46">
        <f>K58-K57</f>
        <v>1656.1190000000643</v>
      </c>
      <c r="N58" s="46">
        <f>M58/L58</f>
        <v>116.32499824401594</v>
      </c>
      <c r="O58" s="46">
        <f>N58*(1.02)^(-2)*(1-(1/1.02)^3)/(1-1/1.02)</f>
        <v>328.88991826146986</v>
      </c>
      <c r="P58" s="47">
        <f>N58/(1.02*1.05)*(1+1/1.02+1/(1.02^2))</f>
        <v>319.49306345399935</v>
      </c>
    </row>
    <row r="59" spans="1:16" ht="12.75">
      <c r="A59" s="16" t="s">
        <v>21</v>
      </c>
      <c r="B59" s="5">
        <v>6159.994066120372</v>
      </c>
      <c r="C59" s="5">
        <v>251.8340893719459</v>
      </c>
      <c r="D59" s="5">
        <v>24.460525107950655</v>
      </c>
      <c r="E59" s="5">
        <v>2.905853565423897E-15</v>
      </c>
      <c r="F59" s="5">
        <v>5630.909867815908</v>
      </c>
      <c r="G59" s="20">
        <v>6689.078264424836</v>
      </c>
      <c r="H59" s="53" t="s">
        <v>73</v>
      </c>
      <c r="I59" s="13">
        <v>283</v>
      </c>
      <c r="J59" s="13">
        <f t="shared" si="2"/>
        <v>2130.923</v>
      </c>
      <c r="K59" s="13">
        <f t="shared" si="3"/>
        <v>560432.749</v>
      </c>
      <c r="L59" s="13">
        <f aca="true" t="shared" si="4" ref="L59:L66">J59-J58</f>
        <v>14.23700000000008</v>
      </c>
      <c r="M59" s="13">
        <f aca="true" t="shared" si="5" ref="M59:M66">K59-K58</f>
        <v>1627.6450000000186</v>
      </c>
      <c r="N59" s="13">
        <f>M59/L59</f>
        <v>114.32499824401275</v>
      </c>
      <c r="O59" s="13">
        <f>N59*(1.02)^(-2)*(1-(1/1.02)^3)/(1-1/1.02)</f>
        <v>323.2352451778378</v>
      </c>
      <c r="P59" s="14">
        <f>N59/(1.02*1.05)*(1+1/1.02+1/(1.02^2))</f>
        <v>313.999952458471</v>
      </c>
    </row>
    <row r="60" spans="1:16" ht="13.5" thickBot="1">
      <c r="A60" s="17" t="s">
        <v>3</v>
      </c>
      <c r="B60" s="6">
        <v>-14.23749646792879</v>
      </c>
      <c r="C60" s="6">
        <v>0.8882453707139651</v>
      </c>
      <c r="D60" s="6">
        <v>-16.028787694648827</v>
      </c>
      <c r="E60" s="6">
        <v>4.227037455784348E-12</v>
      </c>
      <c r="F60" s="6">
        <v>-16.103632188608557</v>
      </c>
      <c r="G60" s="21">
        <v>-12.37136074724902</v>
      </c>
      <c r="H60" s="53"/>
      <c r="I60" s="13">
        <v>282</v>
      </c>
      <c r="J60" s="13">
        <f t="shared" si="2"/>
        <v>2145.16</v>
      </c>
      <c r="K60" s="13">
        <f t="shared" si="3"/>
        <v>562031.92</v>
      </c>
      <c r="L60" s="13">
        <f t="shared" si="4"/>
        <v>14.23700000000008</v>
      </c>
      <c r="M60" s="13">
        <f t="shared" si="5"/>
        <v>1599.1710000000894</v>
      </c>
      <c r="N60" s="13">
        <f>M60/L60</f>
        <v>112.32499824401773</v>
      </c>
      <c r="O60" s="13">
        <f>N60*(1.02)^(-2)*(1-(1/1.02)^3)/(1-1/1.02)</f>
        <v>317.5805720942288</v>
      </c>
      <c r="P60" s="14">
        <f>N60/(1.02*1.05)*(1+1/1.02+1/(1.02^2))</f>
        <v>308.50684146296516</v>
      </c>
    </row>
    <row r="61" spans="1:16" ht="12.75">
      <c r="A61" s="12"/>
      <c r="B61" s="13"/>
      <c r="C61" s="13"/>
      <c r="D61" s="13"/>
      <c r="E61" s="13"/>
      <c r="F61" s="13"/>
      <c r="G61" s="13"/>
      <c r="H61" s="53"/>
      <c r="I61" s="13">
        <v>281</v>
      </c>
      <c r="J61" s="13">
        <f t="shared" si="2"/>
        <v>2159.3969999999995</v>
      </c>
      <c r="K61" s="13">
        <f t="shared" si="3"/>
        <v>563602.6169999999</v>
      </c>
      <c r="L61" s="13">
        <f t="shared" si="4"/>
        <v>14.236999999999625</v>
      </c>
      <c r="M61" s="13">
        <f t="shared" si="5"/>
        <v>1570.696999999811</v>
      </c>
      <c r="N61" s="13">
        <f>M61/L61</f>
        <v>110.3249982440017</v>
      </c>
      <c r="O61" s="13">
        <f>N61*(1.02)^(-2)*(1-(1/1.02)^3)/(1-1/1.02)</f>
        <v>311.9258990105604</v>
      </c>
      <c r="P61" s="14">
        <f>N61/(1.02*1.05)*(1+1/1.02+1/(1.02^2))</f>
        <v>303.0137304674015</v>
      </c>
    </row>
    <row r="62" spans="1:16" ht="12.75">
      <c r="A62" s="12"/>
      <c r="B62" s="34"/>
      <c r="C62" s="34"/>
      <c r="D62" s="13"/>
      <c r="E62" s="13"/>
      <c r="F62" s="13"/>
      <c r="G62" s="13"/>
      <c r="H62" s="13"/>
      <c r="I62" s="46">
        <v>280</v>
      </c>
      <c r="J62" s="46">
        <f t="shared" si="2"/>
        <v>2173.6339999999996</v>
      </c>
      <c r="K62" s="46">
        <f t="shared" si="3"/>
        <v>565144.8399999999</v>
      </c>
      <c r="L62" s="46">
        <f t="shared" si="4"/>
        <v>14.23700000000008</v>
      </c>
      <c r="M62" s="46">
        <f t="shared" si="5"/>
        <v>1542.2229999999981</v>
      </c>
      <c r="N62" s="46">
        <f>M62/L62</f>
        <v>108.32499824401134</v>
      </c>
      <c r="O62" s="46">
        <f>N62*(1.02)^(-2)*(1-(1/1.02)^3)/(1-1/1.02)</f>
        <v>306.2712259269646</v>
      </c>
      <c r="P62" s="14">
        <f>N62/(1.02*1.05)*(1+1/1.02+1/(1.02^2))</f>
        <v>297.52061947190845</v>
      </c>
    </row>
    <row r="63" spans="1:16" ht="12.75">
      <c r="A63" s="12"/>
      <c r="B63" s="13"/>
      <c r="C63" s="13"/>
      <c r="D63" s="13"/>
      <c r="E63" s="13"/>
      <c r="F63" s="13"/>
      <c r="G63" s="13"/>
      <c r="H63" s="13"/>
      <c r="I63" s="13">
        <v>279</v>
      </c>
      <c r="J63" s="13">
        <f t="shared" si="2"/>
        <v>2187.8709999999996</v>
      </c>
      <c r="K63" s="13">
        <f t="shared" si="3"/>
        <v>566658.5889999998</v>
      </c>
      <c r="L63" s="13">
        <f t="shared" si="4"/>
        <v>14.23700000000008</v>
      </c>
      <c r="M63" s="13">
        <f t="shared" si="5"/>
        <v>1513.7489999999525</v>
      </c>
      <c r="N63" s="13">
        <f>M63/L63</f>
        <v>106.32499824400814</v>
      </c>
      <c r="O63" s="13">
        <f>N63*(1.02)^(-2)*(1-(1/1.02)^3)/(1-1/1.02)</f>
        <v>300.61655284333244</v>
      </c>
      <c r="P63" s="14">
        <f>N63/(1.02*1.05)*(1+1/1.02+1/(1.02^2))</f>
        <v>292.02750847638004</v>
      </c>
    </row>
    <row r="64" spans="1:16" ht="12.7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</row>
    <row r="65" spans="1:16" ht="12.75">
      <c r="A65" s="12"/>
      <c r="B65" s="13"/>
      <c r="C65" s="13"/>
      <c r="D65" s="13"/>
      <c r="E65" s="13"/>
      <c r="F65" s="13"/>
      <c r="G65" s="13"/>
      <c r="H65" s="13"/>
      <c r="I65" s="34" t="s">
        <v>68</v>
      </c>
      <c r="J65" s="34"/>
      <c r="K65" s="34"/>
      <c r="L65" s="13">
        <f>800/1.02-800*0.8*0.9^2/1.02^4</f>
        <v>305.392256638051</v>
      </c>
      <c r="M65" s="13" t="s">
        <v>70</v>
      </c>
      <c r="N65" s="13"/>
      <c r="O65" s="13"/>
      <c r="P65" s="14"/>
    </row>
    <row r="66" spans="1:16" ht="13.5" thickBot="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>
        <f>800/1.02-800*0.8*0.9^2/1.02^3/1.05</f>
        <v>319.0757271766837</v>
      </c>
      <c r="M66" s="23" t="s">
        <v>71</v>
      </c>
      <c r="N66" s="23"/>
      <c r="O66" s="23"/>
      <c r="P66" s="24"/>
    </row>
    <row r="69" ht="13.5" thickBot="1"/>
    <row r="70" spans="1:16" ht="12.75">
      <c r="A70" s="9" t="s">
        <v>74</v>
      </c>
      <c r="B70" s="10"/>
      <c r="C70" s="10"/>
      <c r="D70" s="10"/>
      <c r="E70" s="10"/>
      <c r="F70" s="10"/>
      <c r="G70" s="11"/>
      <c r="H70" s="40"/>
      <c r="I70" s="41" t="s">
        <v>3</v>
      </c>
      <c r="J70" s="41" t="s">
        <v>43</v>
      </c>
      <c r="K70" s="41" t="s">
        <v>45</v>
      </c>
      <c r="L70" s="42" t="s">
        <v>47</v>
      </c>
      <c r="M70" s="42" t="s">
        <v>46</v>
      </c>
      <c r="N70" s="42" t="s">
        <v>48</v>
      </c>
      <c r="O70" s="41" t="s">
        <v>49</v>
      </c>
      <c r="P70" s="43" t="s">
        <v>49</v>
      </c>
    </row>
    <row r="71" spans="1:16" ht="13.5" thickBot="1">
      <c r="A71" s="12"/>
      <c r="B71" s="13"/>
      <c r="C71" s="13"/>
      <c r="D71" s="13"/>
      <c r="E71" s="13"/>
      <c r="F71" s="13"/>
      <c r="G71" s="14"/>
      <c r="H71" s="12"/>
      <c r="I71" s="13">
        <v>1045</v>
      </c>
      <c r="J71" s="13">
        <f>6047.18-3.82*I71</f>
        <v>2055.2800000000007</v>
      </c>
      <c r="K71" s="13">
        <f>I71*J71-200*J71</f>
        <v>1736711.6000000006</v>
      </c>
      <c r="L71" s="44"/>
      <c r="M71" s="44"/>
      <c r="N71" s="44"/>
      <c r="O71" s="52" t="s">
        <v>69</v>
      </c>
      <c r="P71" s="45" t="s">
        <v>51</v>
      </c>
    </row>
    <row r="72" spans="1:16" ht="12.75">
      <c r="A72" s="15" t="s">
        <v>11</v>
      </c>
      <c r="B72" s="4"/>
      <c r="C72" s="13"/>
      <c r="D72" s="13"/>
      <c r="E72" s="13"/>
      <c r="F72" s="13"/>
      <c r="G72" s="14"/>
      <c r="H72" s="39" t="s">
        <v>72</v>
      </c>
      <c r="I72" s="13">
        <v>1044</v>
      </c>
      <c r="J72" s="13">
        <f>6047.18-3.82*I72</f>
        <v>2059.1000000000004</v>
      </c>
      <c r="K72" s="13">
        <f>I72*J72-200*J72</f>
        <v>1737880.4000000004</v>
      </c>
      <c r="L72" s="13">
        <f>J72-J71</f>
        <v>3.819999999999709</v>
      </c>
      <c r="M72" s="13">
        <f>K72-K71</f>
        <v>1168.7999999998137</v>
      </c>
      <c r="N72" s="13">
        <f>M72/L72</f>
        <v>305.9685863874091</v>
      </c>
      <c r="O72" s="13">
        <f>N72*(1.02)^(-2)*(1-(1/1.02)^4)/(1-1/1.02)</f>
        <v>1142.201340470726</v>
      </c>
      <c r="P72" s="14">
        <f>N72/(1.02*1.05)*(1+1/1.05+1/(1.02*1.05)+1/(1.05*1.02^2))</f>
        <v>1086.027528975929</v>
      </c>
    </row>
    <row r="73" spans="1:16" ht="12.75">
      <c r="A73" s="16" t="s">
        <v>12</v>
      </c>
      <c r="B73" s="5">
        <v>0.9933776770026888</v>
      </c>
      <c r="C73" s="13"/>
      <c r="D73" s="13"/>
      <c r="E73" s="13"/>
      <c r="F73" s="13"/>
      <c r="G73" s="14"/>
      <c r="H73" s="39"/>
      <c r="I73" s="46">
        <v>1043</v>
      </c>
      <c r="J73" s="46">
        <f>6047.18-3.82*I73</f>
        <v>2062.9200000000005</v>
      </c>
      <c r="K73" s="46">
        <f>I73*J73-200*J73</f>
        <v>1739041.5600000005</v>
      </c>
      <c r="L73" s="46">
        <f>J73-J72</f>
        <v>3.8200000000001637</v>
      </c>
      <c r="M73" s="46">
        <f>K73-K72</f>
        <v>1161.160000000149</v>
      </c>
      <c r="N73" s="46">
        <f>M73/L73</f>
        <v>303.96858638746056</v>
      </c>
      <c r="O73" s="46">
        <f>N73*(1.02)^(-2)*(1-(1/1.02)^4)/(1-1/1.02)</f>
        <v>1134.7352057676353</v>
      </c>
      <c r="P73" s="47">
        <f>N73/(1.02*1.05)*(1+1/1.05+1/(1.02*1.05)+1/(1.05*1.02^2))</f>
        <v>1078.928581062545</v>
      </c>
    </row>
    <row r="74" spans="1:16" ht="12.75">
      <c r="A74" s="16" t="s">
        <v>13</v>
      </c>
      <c r="B74" s="5">
        <v>0.9867992091672582</v>
      </c>
      <c r="C74" s="13"/>
      <c r="D74" s="13"/>
      <c r="E74" s="13"/>
      <c r="F74" s="13"/>
      <c r="G74" s="14"/>
      <c r="H74" s="39"/>
      <c r="I74" s="13">
        <v>1042</v>
      </c>
      <c r="J74" s="13">
        <f>6047.18-3.82*I74</f>
        <v>2066.7400000000002</v>
      </c>
      <c r="K74" s="13">
        <f>I74*J74-200*J74</f>
        <v>1740195.08</v>
      </c>
      <c r="L74" s="13">
        <f>J74-J73</f>
        <v>3.819999999999709</v>
      </c>
      <c r="M74" s="13">
        <f>K74-K73</f>
        <v>1153.519999999553</v>
      </c>
      <c r="N74" s="13">
        <f>M74/L74</f>
        <v>301.9685863873405</v>
      </c>
      <c r="O74" s="13">
        <f>N74*(1.02)^(-2)*(1-(1/1.02)^4)/(1-1/1.02)</f>
        <v>1127.2690710639042</v>
      </c>
      <c r="P74" s="14">
        <f>N74/(1.02*1.05)*(1+1/1.05+1/(1.02*1.05)+1/(1.05*1.02^2))</f>
        <v>1071.829633148552</v>
      </c>
    </row>
    <row r="75" spans="1:16" ht="12.75">
      <c r="A75" s="16" t="s">
        <v>14</v>
      </c>
      <c r="B75" s="5">
        <v>0.9860658318987725</v>
      </c>
      <c r="C75" s="13"/>
      <c r="D75" s="13"/>
      <c r="E75" s="13"/>
      <c r="F75" s="13"/>
      <c r="G75" s="14"/>
      <c r="H75" s="12"/>
      <c r="I75" s="13">
        <v>1041</v>
      </c>
      <c r="J75" s="13">
        <f>6047.18-3.82*I75</f>
        <v>2070.5600000000004</v>
      </c>
      <c r="K75" s="13">
        <f>I75*J75-200*J75</f>
        <v>1741340.9600000004</v>
      </c>
      <c r="L75" s="13">
        <f>J75-J74</f>
        <v>3.8200000000001637</v>
      </c>
      <c r="M75" s="13">
        <f>K75-K74</f>
        <v>1145.880000000354</v>
      </c>
      <c r="N75" s="13">
        <f>M75/L75</f>
        <v>299.96858638751434</v>
      </c>
      <c r="O75" s="13">
        <f>N75*(1.02)^(-2)*(1-(1/1.02)^4)/(1-1/1.02)</f>
        <v>1119.8029363612702</v>
      </c>
      <c r="P75" s="14">
        <f>N75/(1.02*1.05)*(1+1/1.05+1/(1.02*1.05)+1/(1.05*1.02^2))</f>
        <v>1064.7306852356023</v>
      </c>
    </row>
    <row r="76" spans="1:16" ht="12.75">
      <c r="A76" s="16" t="s">
        <v>15</v>
      </c>
      <c r="B76" s="5">
        <v>130.4203146458977</v>
      </c>
      <c r="C76" s="13"/>
      <c r="D76" s="13"/>
      <c r="E76" s="13"/>
      <c r="F76" s="13"/>
      <c r="G76" s="14"/>
      <c r="H76" s="12"/>
      <c r="I76" s="13"/>
      <c r="J76" s="13"/>
      <c r="K76" s="13"/>
      <c r="L76" s="13"/>
      <c r="M76" s="13"/>
      <c r="N76" s="13"/>
      <c r="O76" s="13"/>
      <c r="P76" s="14"/>
    </row>
    <row r="77" spans="1:16" ht="13.5" thickBot="1">
      <c r="A77" s="17" t="s">
        <v>16</v>
      </c>
      <c r="B77" s="2">
        <v>20</v>
      </c>
      <c r="C77" s="13"/>
      <c r="D77" s="13"/>
      <c r="E77" s="13"/>
      <c r="F77" s="13"/>
      <c r="G77" s="14"/>
      <c r="H77" s="12"/>
      <c r="I77" s="34" t="s">
        <v>68</v>
      </c>
      <c r="J77" s="34"/>
      <c r="K77" s="34"/>
      <c r="L77" s="13">
        <f>1600/1.02-1600*0.36/1.02^5</f>
        <v>1046.9265045183606</v>
      </c>
      <c r="M77" s="13" t="s">
        <v>70</v>
      </c>
      <c r="N77" s="13"/>
      <c r="O77" s="13"/>
      <c r="P77" s="14"/>
    </row>
    <row r="78" spans="1:16" ht="12.75">
      <c r="A78" s="12"/>
      <c r="B78" s="13"/>
      <c r="C78" s="13"/>
      <c r="D78" s="13"/>
      <c r="E78" s="13"/>
      <c r="F78" s="13"/>
      <c r="G78" s="14"/>
      <c r="H78" s="12"/>
      <c r="I78" s="13"/>
      <c r="J78" s="13"/>
      <c r="K78" s="13"/>
      <c r="L78" s="13">
        <f>1600/1.02-1600*0.36/1.02^3/1.05^2</f>
        <v>1076.3121088496914</v>
      </c>
      <c r="M78" s="13" t="s">
        <v>71</v>
      </c>
      <c r="N78" s="13"/>
      <c r="O78" s="13"/>
      <c r="P78" s="14"/>
    </row>
    <row r="79" spans="1:16" ht="13.5" thickBot="1">
      <c r="A79" s="12" t="s">
        <v>17</v>
      </c>
      <c r="B79" s="13"/>
      <c r="C79" s="13"/>
      <c r="D79" s="13"/>
      <c r="E79" s="13"/>
      <c r="F79" s="13"/>
      <c r="G79" s="14"/>
      <c r="H79" s="12"/>
      <c r="I79" s="13"/>
      <c r="J79" s="13"/>
      <c r="K79" s="13"/>
      <c r="L79" s="13"/>
      <c r="M79" s="13"/>
      <c r="N79" s="13"/>
      <c r="O79" s="13"/>
      <c r="P79" s="14"/>
    </row>
    <row r="80" spans="1:16" ht="12.75">
      <c r="A80" s="18"/>
      <c r="B80" s="3" t="s">
        <v>22</v>
      </c>
      <c r="C80" s="3" t="s">
        <v>23</v>
      </c>
      <c r="D80" s="3" t="s">
        <v>24</v>
      </c>
      <c r="E80" s="3" t="s">
        <v>25</v>
      </c>
      <c r="F80" s="3" t="s">
        <v>26</v>
      </c>
      <c r="G80" s="14"/>
      <c r="H80" s="12"/>
      <c r="I80" s="13"/>
      <c r="J80" s="13"/>
      <c r="K80" s="13"/>
      <c r="L80" s="13"/>
      <c r="M80" s="13"/>
      <c r="N80" s="13"/>
      <c r="O80" s="13"/>
      <c r="P80" s="14"/>
    </row>
    <row r="81" spans="1:16" ht="12.75">
      <c r="A81" s="16" t="s">
        <v>18</v>
      </c>
      <c r="B81" s="1">
        <v>1</v>
      </c>
      <c r="C81" s="1">
        <v>22887156.29749797</v>
      </c>
      <c r="D81" s="1">
        <v>22887156.29749797</v>
      </c>
      <c r="E81" s="1">
        <v>1345.5546709333983</v>
      </c>
      <c r="F81" s="1">
        <v>2.2712771344967407E-18</v>
      </c>
      <c r="G81" s="14"/>
      <c r="H81" s="12"/>
      <c r="I81" s="48" t="s">
        <v>3</v>
      </c>
      <c r="J81" s="48" t="s">
        <v>43</v>
      </c>
      <c r="K81" s="48" t="s">
        <v>45</v>
      </c>
      <c r="L81" s="44" t="s">
        <v>47</v>
      </c>
      <c r="M81" s="44" t="s">
        <v>46</v>
      </c>
      <c r="N81" s="44" t="s">
        <v>48</v>
      </c>
      <c r="O81" s="48" t="s">
        <v>49</v>
      </c>
      <c r="P81" s="49"/>
    </row>
    <row r="82" spans="1:16" ht="12.75">
      <c r="A82" s="16" t="s">
        <v>19</v>
      </c>
      <c r="B82" s="1">
        <v>18</v>
      </c>
      <c r="C82" s="1">
        <v>306170.25250202924</v>
      </c>
      <c r="D82" s="1">
        <v>17009.458472334958</v>
      </c>
      <c r="E82" s="1"/>
      <c r="F82" s="1"/>
      <c r="G82" s="14"/>
      <c r="H82" s="12"/>
      <c r="I82" s="13">
        <v>1065</v>
      </c>
      <c r="J82" s="13">
        <f>6047.18-3.82*I82</f>
        <v>1978.8800000000006</v>
      </c>
      <c r="K82" s="13">
        <f>I82*J82-200*J82</f>
        <v>1711731.2000000007</v>
      </c>
      <c r="L82" s="44"/>
      <c r="M82" s="44"/>
      <c r="N82" s="44"/>
      <c r="O82" s="52" t="s">
        <v>69</v>
      </c>
      <c r="P82" s="45"/>
    </row>
    <row r="83" spans="1:16" ht="13.5" thickBot="1">
      <c r="A83" s="17" t="s">
        <v>20</v>
      </c>
      <c r="B83" s="2">
        <v>19</v>
      </c>
      <c r="C83" s="2">
        <v>23193326.549999997</v>
      </c>
      <c r="D83" s="2"/>
      <c r="E83" s="2"/>
      <c r="F83" s="2"/>
      <c r="G83" s="14"/>
      <c r="H83" s="39" t="s">
        <v>73</v>
      </c>
      <c r="I83" s="13">
        <v>1064</v>
      </c>
      <c r="J83" s="13">
        <f>6047.18-3.82*I83</f>
        <v>1982.7000000000003</v>
      </c>
      <c r="K83" s="13">
        <f>I83*J83-200*J83</f>
        <v>1713052.8000000003</v>
      </c>
      <c r="L83" s="13">
        <f>J83-J82</f>
        <v>3.819999999999709</v>
      </c>
      <c r="M83" s="13">
        <f>K83-K82</f>
        <v>1321.5999999996275</v>
      </c>
      <c r="N83" s="13">
        <f>M83/L83</f>
        <v>345.9685863873634</v>
      </c>
      <c r="O83" s="13">
        <f>N83*(1.02)^(-2)*(1-(1/1.02)^3)/(1-1/1.02)</f>
        <v>978.1696266118764</v>
      </c>
      <c r="P83" s="14"/>
    </row>
    <row r="84" spans="1:16" ht="13.5" thickBot="1">
      <c r="A84" s="12"/>
      <c r="B84" s="13"/>
      <c r="C84" s="13"/>
      <c r="D84" s="13"/>
      <c r="E84" s="13"/>
      <c r="F84" s="13"/>
      <c r="G84" s="14"/>
      <c r="H84" s="39"/>
      <c r="I84" s="46">
        <v>1063</v>
      </c>
      <c r="J84" s="46">
        <f>6047.18-3.82*I84</f>
        <v>1986.5200000000004</v>
      </c>
      <c r="K84" s="46">
        <f>I84*J84-200*J84</f>
        <v>1714366.7600000002</v>
      </c>
      <c r="L84" s="46">
        <f>J84-J83</f>
        <v>3.8200000000001637</v>
      </c>
      <c r="M84" s="46">
        <f>K84-K83</f>
        <v>1313.9599999999627</v>
      </c>
      <c r="N84" s="46">
        <f>M84/L84</f>
        <v>343.9685863874101</v>
      </c>
      <c r="O84" s="46">
        <f>N84*(1.02)^(-2)*(1-(1/1.02)^3)/(1-1/1.02)</f>
        <v>972.5149535283853</v>
      </c>
      <c r="P84" s="14"/>
    </row>
    <row r="85" spans="1:16" ht="12.75">
      <c r="A85" s="18"/>
      <c r="B85" s="3" t="s">
        <v>27</v>
      </c>
      <c r="C85" s="3" t="s">
        <v>15</v>
      </c>
      <c r="D85" s="3" t="s">
        <v>28</v>
      </c>
      <c r="E85" s="3" t="s">
        <v>29</v>
      </c>
      <c r="F85" s="3" t="s">
        <v>30</v>
      </c>
      <c r="G85" s="19" t="s">
        <v>31</v>
      </c>
      <c r="H85" s="39"/>
      <c r="I85" s="13">
        <v>1062</v>
      </c>
      <c r="J85" s="13">
        <f>6047.18-3.82*I85</f>
        <v>1990.3400000000006</v>
      </c>
      <c r="K85" s="13">
        <f>I85*J85-200*J85</f>
        <v>1715673.0800000005</v>
      </c>
      <c r="L85" s="13">
        <f>J85-J84</f>
        <v>3.8200000000001637</v>
      </c>
      <c r="M85" s="13">
        <f>K85-K84</f>
        <v>1306.320000000298</v>
      </c>
      <c r="N85" s="13">
        <f>M85/L85</f>
        <v>341.9685863874979</v>
      </c>
      <c r="O85" s="13">
        <f>N85*(1.02)^(-2)*(1-(1/1.02)^3)/(1-1/1.02)</f>
        <v>966.8602804450103</v>
      </c>
      <c r="P85" s="14"/>
    </row>
    <row r="86" spans="1:16" ht="12.75">
      <c r="A86" s="16" t="s">
        <v>21</v>
      </c>
      <c r="B86" s="5">
        <v>6047.18024770312</v>
      </c>
      <c r="C86" s="5">
        <v>92.72013635020636</v>
      </c>
      <c r="D86" s="5">
        <v>65.21970831516859</v>
      </c>
      <c r="E86" s="5">
        <v>7.784451568120906E-23</v>
      </c>
      <c r="F86" s="5">
        <v>5852.3823189164605</v>
      </c>
      <c r="G86" s="20">
        <v>6241.978176489779</v>
      </c>
      <c r="H86" s="12"/>
      <c r="I86" s="13">
        <v>1061</v>
      </c>
      <c r="J86" s="13">
        <f>6047.18-3.82*I86</f>
        <v>1994.1600000000003</v>
      </c>
      <c r="K86" s="13">
        <f>I86*J86-200*J86</f>
        <v>1716971.7600000002</v>
      </c>
      <c r="L86" s="13">
        <f>J86-J85</f>
        <v>3.819999999999709</v>
      </c>
      <c r="M86" s="13">
        <f>K86-K85</f>
        <v>1298.679999999702</v>
      </c>
      <c r="N86" s="13">
        <f>M86/L86</f>
        <v>339.96858638738246</v>
      </c>
      <c r="O86" s="13">
        <f>N86*(1.02)^(-2)*(1-(1/1.02)^3)/(1-1/1.02)</f>
        <v>961.2056073610611</v>
      </c>
      <c r="P86" s="14"/>
    </row>
    <row r="87" spans="1:16" ht="13.5" thickBot="1">
      <c r="A87" s="17" t="s">
        <v>3</v>
      </c>
      <c r="B87" s="6">
        <v>-3.817809079055306</v>
      </c>
      <c r="C87" s="6">
        <v>0.10407910100872357</v>
      </c>
      <c r="D87" s="6">
        <v>-36.68180299458303</v>
      </c>
      <c r="E87" s="6">
        <v>2.271277134496706E-18</v>
      </c>
      <c r="F87" s="6">
        <v>-4.036471325515988</v>
      </c>
      <c r="G87" s="21">
        <v>-3.5991468325946236</v>
      </c>
      <c r="H87" s="12"/>
      <c r="I87" s="13"/>
      <c r="J87" s="13"/>
      <c r="K87" s="13"/>
      <c r="L87" s="13"/>
      <c r="M87" s="13"/>
      <c r="N87" s="13"/>
      <c r="O87" s="13"/>
      <c r="P87" s="14"/>
    </row>
    <row r="88" spans="1:16" ht="12.75">
      <c r="A88" s="12"/>
      <c r="B88" s="13"/>
      <c r="C88" s="13"/>
      <c r="D88" s="13"/>
      <c r="E88" s="13"/>
      <c r="F88" s="13"/>
      <c r="G88" s="14"/>
      <c r="H88" s="12"/>
      <c r="I88" s="13"/>
      <c r="J88" s="13"/>
      <c r="K88" s="13"/>
      <c r="L88" s="13"/>
      <c r="M88" s="13"/>
      <c r="N88" s="13"/>
      <c r="O88" s="13"/>
      <c r="P88" s="14"/>
    </row>
    <row r="89" spans="1:16" ht="13.5" thickBot="1">
      <c r="A89" s="22"/>
      <c r="B89" s="23"/>
      <c r="C89" s="23"/>
      <c r="D89" s="23"/>
      <c r="E89" s="23"/>
      <c r="F89" s="23"/>
      <c r="G89" s="24"/>
      <c r="H89" s="22"/>
      <c r="I89" s="50" t="s">
        <v>68</v>
      </c>
      <c r="J89" s="50"/>
      <c r="K89" s="50"/>
      <c r="L89" s="23">
        <f>1600/1.02-1600*0.5*0.9^2/1.02^4</f>
        <v>969.9756149152108</v>
      </c>
      <c r="M89" s="23"/>
      <c r="N89" s="23"/>
      <c r="O89" s="23"/>
      <c r="P89" s="24"/>
    </row>
    <row r="94" spans="9:17" ht="12.75">
      <c r="I94" s="13"/>
      <c r="J94" s="13"/>
      <c r="K94" s="13"/>
      <c r="L94" s="13"/>
      <c r="M94" s="13"/>
      <c r="N94" s="13"/>
      <c r="O94" s="13"/>
      <c r="P94" s="13"/>
      <c r="Q94" s="13"/>
    </row>
    <row r="95" spans="9:17" ht="12.75">
      <c r="I95" s="13"/>
      <c r="J95" s="13"/>
      <c r="K95" s="13"/>
      <c r="L95" s="13"/>
      <c r="M95" s="13"/>
      <c r="N95" s="13"/>
      <c r="O95" s="13"/>
      <c r="P95" s="13"/>
      <c r="Q95" s="13"/>
    </row>
    <row r="96" spans="9:17" ht="12.75">
      <c r="I96" s="13"/>
      <c r="J96" s="13"/>
      <c r="K96" s="13"/>
      <c r="L96" s="13"/>
      <c r="M96" s="13"/>
      <c r="N96" s="13"/>
      <c r="O96" s="13"/>
      <c r="P96" s="13"/>
      <c r="Q96" s="13"/>
    </row>
    <row r="97" spans="9:17" ht="12.75">
      <c r="I97" s="13"/>
      <c r="J97" s="13"/>
      <c r="K97" s="13"/>
      <c r="L97" s="13"/>
      <c r="M97" s="13"/>
      <c r="N97" s="13"/>
      <c r="O97" s="13"/>
      <c r="P97" s="13"/>
      <c r="Q97" s="13"/>
    </row>
    <row r="98" spans="9:17" ht="12.75">
      <c r="I98" s="13"/>
      <c r="J98" s="13"/>
      <c r="K98" s="13"/>
      <c r="L98" s="13"/>
      <c r="M98" s="13"/>
      <c r="N98" s="13"/>
      <c r="O98" s="13"/>
      <c r="P98" s="13"/>
      <c r="Q98" s="13"/>
    </row>
    <row r="99" spans="9:17" ht="12.75">
      <c r="I99" s="13"/>
      <c r="J99" s="13"/>
      <c r="K99" s="13"/>
      <c r="L99" s="13"/>
      <c r="M99" s="13"/>
      <c r="N99" s="13"/>
      <c r="O99" s="13"/>
      <c r="P99" s="13"/>
      <c r="Q99" s="13"/>
    </row>
    <row r="100" spans="9:17" ht="12.75"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9:17" ht="12.75"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9:17" ht="12.75"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9:17" ht="12.75"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9:17" ht="12.75"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9:17" ht="12.75"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9:17" ht="12.75"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9:17" ht="12.75"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9:17" ht="12.75"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9:17" ht="12.75"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9:17" ht="12.75"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6:17" ht="12.75">
      <c r="P111" s="13"/>
      <c r="Q111" s="13"/>
    </row>
  </sheetData>
  <mergeCells count="44">
    <mergeCell ref="N81:N82"/>
    <mergeCell ref="H83:H85"/>
    <mergeCell ref="I89:K89"/>
    <mergeCell ref="H72:H74"/>
    <mergeCell ref="I77:K77"/>
    <mergeCell ref="L81:L82"/>
    <mergeCell ref="M81:M82"/>
    <mergeCell ref="I65:K65"/>
    <mergeCell ref="H59:H61"/>
    <mergeCell ref="A70:G70"/>
    <mergeCell ref="L70:L71"/>
    <mergeCell ref="M32:M33"/>
    <mergeCell ref="N32:N33"/>
    <mergeCell ref="I39:K39"/>
    <mergeCell ref="M70:M71"/>
    <mergeCell ref="N70:N71"/>
    <mergeCell ref="B62:C62"/>
    <mergeCell ref="L43:L44"/>
    <mergeCell ref="M43:M44"/>
    <mergeCell ref="N43:N44"/>
    <mergeCell ref="H46:H48"/>
    <mergeCell ref="I52:K52"/>
    <mergeCell ref="L56:L57"/>
    <mergeCell ref="M56:M57"/>
    <mergeCell ref="N56:N57"/>
    <mergeCell ref="M1:M2"/>
    <mergeCell ref="N1:N2"/>
    <mergeCell ref="L22:L23"/>
    <mergeCell ref="M22:M23"/>
    <mergeCell ref="N22:N23"/>
    <mergeCell ref="H3:H5"/>
    <mergeCell ref="L11:L12"/>
    <mergeCell ref="M11:M12"/>
    <mergeCell ref="N11:N12"/>
    <mergeCell ref="H13:H15"/>
    <mergeCell ref="A1:G1"/>
    <mergeCell ref="A22:G22"/>
    <mergeCell ref="A43:G43"/>
    <mergeCell ref="L1:L2"/>
    <mergeCell ref="B41:C41"/>
    <mergeCell ref="H24:H26"/>
    <mergeCell ref="I18:K18"/>
    <mergeCell ref="H34:H36"/>
    <mergeCell ref="L32:L33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2" width="12.7109375" style="0" customWidth="1"/>
    <col min="3" max="3" width="15.7109375" style="0" customWidth="1"/>
    <col min="4" max="5" width="10.7109375" style="0" customWidth="1"/>
    <col min="6" max="6" width="13.7109375" style="0" customWidth="1"/>
    <col min="7" max="7" width="10.7109375" style="0" customWidth="1"/>
  </cols>
  <sheetData>
    <row r="1" spans="1:7" ht="12.75">
      <c r="A1" s="8" t="s">
        <v>75</v>
      </c>
      <c r="B1" s="8"/>
      <c r="C1" s="8"/>
      <c r="D1" s="8"/>
      <c r="E1" s="8"/>
      <c r="F1" s="8"/>
      <c r="G1" s="8"/>
    </row>
    <row r="2" ht="13.5" thickBot="1"/>
    <row r="3" spans="1:2" ht="12.75">
      <c r="A3" s="4" t="s">
        <v>11</v>
      </c>
      <c r="B3" s="4"/>
    </row>
    <row r="4" spans="1:2" ht="12.75">
      <c r="A4" s="1" t="s">
        <v>12</v>
      </c>
      <c r="B4" s="1">
        <v>0.9592423279526028</v>
      </c>
    </row>
    <row r="5" spans="1:2" ht="12.75">
      <c r="A5" s="1" t="s">
        <v>13</v>
      </c>
      <c r="B5" s="1">
        <v>0.9201458437359288</v>
      </c>
    </row>
    <row r="6" spans="1:2" ht="12.75">
      <c r="A6" s="1" t="s">
        <v>14</v>
      </c>
      <c r="B6" s="1">
        <v>0.9158294028567898</v>
      </c>
    </row>
    <row r="7" spans="1:2" ht="12.75">
      <c r="A7" s="1" t="s">
        <v>15</v>
      </c>
      <c r="B7" s="1">
        <v>531.6307218271282</v>
      </c>
    </row>
    <row r="8" spans="1:2" ht="13.5" thickBot="1">
      <c r="A8" s="2" t="s">
        <v>16</v>
      </c>
      <c r="B8" s="2">
        <v>40</v>
      </c>
    </row>
    <row r="10" ht="13.5" thickBot="1">
      <c r="A10" t="s">
        <v>17</v>
      </c>
    </row>
    <row r="11" spans="1:6" ht="12.75">
      <c r="A11" s="3"/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</row>
    <row r="12" spans="1:6" ht="12.75">
      <c r="A12" s="1" t="s">
        <v>18</v>
      </c>
      <c r="B12" s="1">
        <v>2</v>
      </c>
      <c r="C12" s="1">
        <v>120498324.29755394</v>
      </c>
      <c r="D12" s="1">
        <v>60249162.14877697</v>
      </c>
      <c r="E12" s="1">
        <v>213.17234951205313</v>
      </c>
      <c r="F12" s="1">
        <v>4.926111278615167E-21</v>
      </c>
    </row>
    <row r="13" spans="1:6" ht="12.75">
      <c r="A13" s="1" t="s">
        <v>19</v>
      </c>
      <c r="B13" s="1">
        <v>37</v>
      </c>
      <c r="C13" s="1">
        <v>10457355.302446034</v>
      </c>
      <c r="D13" s="1">
        <v>282631.22439043334</v>
      </c>
      <c r="E13" s="1"/>
      <c r="F13" s="1"/>
    </row>
    <row r="14" spans="1:6" ht="13.5" thickBot="1">
      <c r="A14" s="2" t="s">
        <v>20</v>
      </c>
      <c r="B14" s="2">
        <v>39</v>
      </c>
      <c r="C14" s="2">
        <v>130955679.59999998</v>
      </c>
      <c r="D14" s="2"/>
      <c r="E14" s="2"/>
      <c r="F14" s="2"/>
    </row>
    <row r="15" ht="13.5" thickBot="1"/>
    <row r="16" spans="1:7" ht="12.75">
      <c r="A16" s="3"/>
      <c r="B16" s="3" t="s">
        <v>27</v>
      </c>
      <c r="C16" s="3" t="s">
        <v>15</v>
      </c>
      <c r="D16" s="3" t="s">
        <v>28</v>
      </c>
      <c r="E16" s="3" t="s">
        <v>29</v>
      </c>
      <c r="F16" s="3" t="s">
        <v>30</v>
      </c>
      <c r="G16" s="3" t="s">
        <v>31</v>
      </c>
    </row>
    <row r="17" spans="1:7" ht="12.75">
      <c r="A17" s="1" t="s">
        <v>21</v>
      </c>
      <c r="B17" s="5">
        <v>6488.235079441815</v>
      </c>
      <c r="C17" s="5">
        <v>249.12582101293626</v>
      </c>
      <c r="D17" s="5">
        <v>26.044008818760314</v>
      </c>
      <c r="E17" s="5">
        <v>2.136193828583764E-25</v>
      </c>
      <c r="F17" s="5">
        <v>5983.458710962964</v>
      </c>
      <c r="G17" s="5">
        <v>6993.011447920667</v>
      </c>
    </row>
    <row r="18" spans="1:7" ht="12.75">
      <c r="A18" s="1" t="s">
        <v>3</v>
      </c>
      <c r="B18" s="5">
        <v>-16.07926180594644</v>
      </c>
      <c r="C18" s="5">
        <v>0.8248302575881326</v>
      </c>
      <c r="D18" s="5">
        <v>-19.494025174298827</v>
      </c>
      <c r="E18" s="5">
        <v>4.708575992652483E-21</v>
      </c>
      <c r="F18" s="5">
        <v>-17.750525026851964</v>
      </c>
      <c r="G18" s="5">
        <v>-14.407998585040916</v>
      </c>
    </row>
    <row r="19" spans="1:7" ht="13.5" thickBot="1">
      <c r="A19" s="2" t="s">
        <v>4</v>
      </c>
      <c r="B19" s="6">
        <v>362.5327153593881</v>
      </c>
      <c r="C19" s="6">
        <v>42.240232829081485</v>
      </c>
      <c r="D19" s="6">
        <v>8.582640082177582</v>
      </c>
      <c r="E19" s="6">
        <v>2.486740283382323E-10</v>
      </c>
      <c r="F19" s="6">
        <v>276.94595745339916</v>
      </c>
      <c r="G19" s="6">
        <v>448.119473265377</v>
      </c>
    </row>
    <row r="26" spans="1:6" ht="12.75">
      <c r="A26" s="12"/>
      <c r="B26" s="13"/>
      <c r="C26" s="13"/>
      <c r="D26" s="13"/>
      <c r="E26" s="13"/>
      <c r="F26" s="13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E5" sqref="E5"/>
    </sheetView>
  </sheetViews>
  <sheetFormatPr defaultColWidth="9.140625" defaultRowHeight="12.75"/>
  <sheetData>
    <row r="1" spans="1:4" ht="12.75">
      <c r="A1" t="s">
        <v>0</v>
      </c>
      <c r="B1" t="s">
        <v>4</v>
      </c>
      <c r="C1" t="s">
        <v>2</v>
      </c>
      <c r="D1" t="s">
        <v>3</v>
      </c>
    </row>
    <row r="2" spans="1:4" ht="12.75">
      <c r="A2" t="s">
        <v>6</v>
      </c>
      <c r="B2">
        <v>1</v>
      </c>
      <c r="C2">
        <v>6814</v>
      </c>
      <c r="D2">
        <v>159</v>
      </c>
    </row>
    <row r="3" spans="1:4" ht="12.75">
      <c r="A3" t="s">
        <v>6</v>
      </c>
      <c r="B3">
        <v>1</v>
      </c>
      <c r="C3">
        <v>5936</v>
      </c>
      <c r="D3">
        <v>205</v>
      </c>
    </row>
    <row r="4" spans="1:4" ht="12.75">
      <c r="A4" t="s">
        <v>6</v>
      </c>
      <c r="B4">
        <v>1</v>
      </c>
      <c r="C4">
        <v>6637</v>
      </c>
      <c r="D4">
        <v>177</v>
      </c>
    </row>
    <row r="5" spans="1:4" ht="12.75">
      <c r="A5" t="s">
        <v>6</v>
      </c>
      <c r="B5">
        <v>1</v>
      </c>
      <c r="C5">
        <v>4649</v>
      </c>
      <c r="D5">
        <v>288</v>
      </c>
    </row>
    <row r="6" spans="1:4" ht="12.75">
      <c r="A6" t="s">
        <v>6</v>
      </c>
      <c r="B6">
        <v>1</v>
      </c>
      <c r="C6">
        <v>3787</v>
      </c>
      <c r="D6">
        <v>345</v>
      </c>
    </row>
    <row r="7" spans="1:4" ht="12.75">
      <c r="A7" t="s">
        <v>6</v>
      </c>
      <c r="B7">
        <v>1</v>
      </c>
      <c r="C7">
        <v>7975</v>
      </c>
      <c r="D7">
        <v>100</v>
      </c>
    </row>
    <row r="8" spans="1:4" ht="12.75">
      <c r="A8" t="s">
        <v>6</v>
      </c>
      <c r="B8">
        <v>1</v>
      </c>
      <c r="C8">
        <v>2465</v>
      </c>
      <c r="D8">
        <v>459</v>
      </c>
    </row>
    <row r="9" spans="1:4" ht="12.75">
      <c r="A9" t="s">
        <v>6</v>
      </c>
      <c r="B9">
        <v>1</v>
      </c>
      <c r="C9">
        <v>4292</v>
      </c>
      <c r="D9">
        <v>311</v>
      </c>
    </row>
    <row r="10" spans="1:4" ht="12.75">
      <c r="A10" t="s">
        <v>6</v>
      </c>
      <c r="B10">
        <v>1</v>
      </c>
      <c r="C10">
        <v>6051</v>
      </c>
      <c r="D10">
        <v>197</v>
      </c>
    </row>
    <row r="11" spans="1:4" ht="12.75">
      <c r="A11" t="s">
        <v>6</v>
      </c>
      <c r="B11">
        <v>1</v>
      </c>
      <c r="C11">
        <v>6234</v>
      </c>
      <c r="D11">
        <v>190</v>
      </c>
    </row>
    <row r="12" spans="1:4" ht="12.75">
      <c r="A12" t="s">
        <v>6</v>
      </c>
      <c r="B12">
        <v>1</v>
      </c>
      <c r="C12">
        <v>5576</v>
      </c>
      <c r="D12">
        <v>230</v>
      </c>
    </row>
    <row r="13" spans="1:4" ht="12.75">
      <c r="A13" t="s">
        <v>6</v>
      </c>
      <c r="B13">
        <v>1</v>
      </c>
      <c r="C13">
        <v>3505</v>
      </c>
      <c r="D13">
        <v>366</v>
      </c>
    </row>
    <row r="14" spans="1:4" ht="12.75">
      <c r="A14" t="s">
        <v>6</v>
      </c>
      <c r="B14">
        <v>1</v>
      </c>
      <c r="C14">
        <v>3155</v>
      </c>
      <c r="D14">
        <v>399</v>
      </c>
    </row>
    <row r="15" spans="1:4" ht="12.75">
      <c r="A15" t="s">
        <v>6</v>
      </c>
      <c r="B15">
        <v>1</v>
      </c>
      <c r="C15">
        <v>6864</v>
      </c>
      <c r="D15">
        <v>156</v>
      </c>
    </row>
    <row r="16" spans="1:4" ht="12.75">
      <c r="A16" t="s">
        <v>6</v>
      </c>
      <c r="B16">
        <v>1</v>
      </c>
      <c r="C16">
        <v>4949</v>
      </c>
      <c r="D16">
        <v>268</v>
      </c>
    </row>
    <row r="17" spans="1:4" ht="12.75">
      <c r="A17" t="s">
        <v>6</v>
      </c>
      <c r="B17">
        <v>1</v>
      </c>
      <c r="C17">
        <v>4540</v>
      </c>
      <c r="D17">
        <v>298</v>
      </c>
    </row>
    <row r="18" spans="1:4" ht="12.75">
      <c r="A18" t="s">
        <v>6</v>
      </c>
      <c r="B18">
        <v>1</v>
      </c>
      <c r="C18">
        <v>4294</v>
      </c>
      <c r="D18">
        <v>310</v>
      </c>
    </row>
    <row r="19" spans="1:4" ht="12.75">
      <c r="A19" t="s">
        <v>6</v>
      </c>
      <c r="B19">
        <v>1</v>
      </c>
      <c r="C19">
        <v>3606</v>
      </c>
      <c r="D19">
        <v>369</v>
      </c>
    </row>
    <row r="20" spans="1:4" ht="12.75">
      <c r="A20" t="s">
        <v>6</v>
      </c>
      <c r="B20">
        <v>1</v>
      </c>
      <c r="C20">
        <v>6714</v>
      </c>
      <c r="D20">
        <v>171</v>
      </c>
    </row>
    <row r="21" spans="1:4" ht="12.75">
      <c r="A21" t="s">
        <v>6</v>
      </c>
      <c r="B21">
        <v>1</v>
      </c>
      <c r="C21">
        <v>8251</v>
      </c>
      <c r="D21">
        <v>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E6" sqref="E6"/>
    </sheetView>
  </sheetViews>
  <sheetFormatPr defaultColWidth="9.140625" defaultRowHeight="12.75"/>
  <sheetData>
    <row r="1" spans="1:4" ht="12.75">
      <c r="A1" t="s">
        <v>0</v>
      </c>
      <c r="B1" t="s">
        <v>2</v>
      </c>
      <c r="C1" t="s">
        <v>3</v>
      </c>
      <c r="D1" t="s">
        <v>4</v>
      </c>
    </row>
    <row r="2" spans="1:4" ht="12.75">
      <c r="A2" t="s">
        <v>7</v>
      </c>
      <c r="B2">
        <v>3870</v>
      </c>
      <c r="C2">
        <v>153</v>
      </c>
      <c r="D2">
        <v>1</v>
      </c>
    </row>
    <row r="3" spans="1:4" ht="12.75">
      <c r="A3" t="s">
        <v>7</v>
      </c>
      <c r="B3">
        <v>2876</v>
      </c>
      <c r="C3">
        <v>207</v>
      </c>
      <c r="D3">
        <v>1</v>
      </c>
    </row>
    <row r="4" spans="1:4" ht="12.75">
      <c r="A4" t="s">
        <v>7</v>
      </c>
      <c r="B4">
        <v>3337</v>
      </c>
      <c r="C4">
        <v>185</v>
      </c>
      <c r="D4">
        <v>1</v>
      </c>
    </row>
    <row r="5" spans="1:4" ht="12.75">
      <c r="A5" t="s">
        <v>7</v>
      </c>
      <c r="B5">
        <v>1698</v>
      </c>
      <c r="C5">
        <v>287</v>
      </c>
      <c r="D5">
        <v>1</v>
      </c>
    </row>
    <row r="6" spans="1:4" ht="12.75">
      <c r="A6" t="s">
        <v>7</v>
      </c>
      <c r="B6">
        <v>1514</v>
      </c>
      <c r="C6">
        <v>307</v>
      </c>
      <c r="D6">
        <v>1</v>
      </c>
    </row>
    <row r="7" spans="1:4" ht="12.75">
      <c r="A7" t="s">
        <v>7</v>
      </c>
      <c r="B7">
        <v>5135</v>
      </c>
      <c r="C7">
        <v>111</v>
      </c>
      <c r="D7">
        <v>1</v>
      </c>
    </row>
    <row r="8" spans="1:4" ht="12.75">
      <c r="A8" t="s">
        <v>7</v>
      </c>
      <c r="B8">
        <v>567</v>
      </c>
      <c r="C8">
        <v>450</v>
      </c>
      <c r="D8">
        <v>1</v>
      </c>
    </row>
    <row r="9" spans="1:4" ht="12.75">
      <c r="A9" t="s">
        <v>7</v>
      </c>
      <c r="B9">
        <v>1516</v>
      </c>
      <c r="C9">
        <v>311</v>
      </c>
      <c r="D9">
        <v>1</v>
      </c>
    </row>
    <row r="10" spans="1:4" ht="12.75">
      <c r="A10" t="s">
        <v>7</v>
      </c>
      <c r="B10">
        <v>1634</v>
      </c>
      <c r="C10">
        <v>297</v>
      </c>
      <c r="D10">
        <v>1</v>
      </c>
    </row>
    <row r="11" spans="1:4" ht="12.75">
      <c r="A11" t="s">
        <v>7</v>
      </c>
      <c r="B11">
        <v>1402</v>
      </c>
      <c r="C11">
        <v>320</v>
      </c>
      <c r="D11">
        <v>1</v>
      </c>
    </row>
    <row r="12" spans="1:4" ht="12.75">
      <c r="A12" t="s">
        <v>7</v>
      </c>
      <c r="B12">
        <v>1434</v>
      </c>
      <c r="C12">
        <v>309</v>
      </c>
      <c r="D12">
        <v>1</v>
      </c>
    </row>
    <row r="13" spans="1:4" ht="12.75">
      <c r="A13" t="s">
        <v>7</v>
      </c>
      <c r="B13">
        <v>845</v>
      </c>
      <c r="C13">
        <v>387</v>
      </c>
      <c r="D13">
        <v>1</v>
      </c>
    </row>
    <row r="14" spans="1:4" ht="12.75">
      <c r="A14" t="s">
        <v>7</v>
      </c>
      <c r="B14">
        <v>806</v>
      </c>
      <c r="C14">
        <v>401</v>
      </c>
      <c r="D14">
        <v>1</v>
      </c>
    </row>
    <row r="15" spans="1:4" ht="12.75">
      <c r="A15" t="s">
        <v>7</v>
      </c>
      <c r="B15">
        <v>4181</v>
      </c>
      <c r="C15">
        <v>139</v>
      </c>
      <c r="D15">
        <v>1</v>
      </c>
    </row>
    <row r="16" spans="1:4" ht="12.75">
      <c r="A16" t="s">
        <v>7</v>
      </c>
      <c r="B16">
        <v>1950</v>
      </c>
      <c r="C16">
        <v>269</v>
      </c>
      <c r="D16">
        <v>1</v>
      </c>
    </row>
    <row r="17" spans="1:4" ht="12.75">
      <c r="A17" t="s">
        <v>7</v>
      </c>
      <c r="B17">
        <v>1219</v>
      </c>
      <c r="C17">
        <v>338</v>
      </c>
      <c r="D17">
        <v>1</v>
      </c>
    </row>
    <row r="18" spans="1:4" ht="12.75">
      <c r="A18" t="s">
        <v>7</v>
      </c>
      <c r="B18">
        <v>894</v>
      </c>
      <c r="C18">
        <v>388</v>
      </c>
      <c r="D18">
        <v>1</v>
      </c>
    </row>
    <row r="19" spans="1:4" ht="12.75">
      <c r="A19" t="s">
        <v>7</v>
      </c>
      <c r="B19">
        <v>3738</v>
      </c>
      <c r="C19">
        <v>161</v>
      </c>
      <c r="D19">
        <v>1</v>
      </c>
    </row>
    <row r="20" spans="1:4" ht="12.75">
      <c r="A20" t="s">
        <v>7</v>
      </c>
      <c r="B20">
        <v>3450</v>
      </c>
      <c r="C20">
        <v>179</v>
      </c>
      <c r="D20">
        <v>1</v>
      </c>
    </row>
    <row r="21" spans="1:4" ht="12.75">
      <c r="A21" t="s">
        <v>7</v>
      </c>
      <c r="B21">
        <v>5846</v>
      </c>
      <c r="C21">
        <v>89</v>
      </c>
      <c r="D21">
        <v>1</v>
      </c>
    </row>
    <row r="22" spans="1:4" ht="12.75">
      <c r="A22" t="s">
        <v>7</v>
      </c>
      <c r="B22">
        <v>5204</v>
      </c>
      <c r="C22">
        <v>153</v>
      </c>
      <c r="D22">
        <v>2</v>
      </c>
    </row>
    <row r="23" spans="1:4" ht="12.75">
      <c r="A23" t="s">
        <v>7</v>
      </c>
      <c r="B23">
        <v>4672</v>
      </c>
      <c r="C23">
        <v>207</v>
      </c>
      <c r="D23">
        <v>3</v>
      </c>
    </row>
    <row r="24" spans="1:4" ht="12.75">
      <c r="A24" t="s">
        <v>7</v>
      </c>
      <c r="B24">
        <v>5490</v>
      </c>
      <c r="C24">
        <v>185</v>
      </c>
      <c r="D24">
        <v>5</v>
      </c>
    </row>
    <row r="25" spans="1:4" ht="12.75">
      <c r="A25" t="s">
        <v>7</v>
      </c>
      <c r="B25">
        <v>3870</v>
      </c>
      <c r="C25">
        <v>287</v>
      </c>
      <c r="D25">
        <v>7</v>
      </c>
    </row>
    <row r="26" spans="1:4" ht="12.75">
      <c r="A26" t="s">
        <v>7</v>
      </c>
      <c r="B26">
        <v>2668</v>
      </c>
      <c r="C26">
        <v>307</v>
      </c>
      <c r="D26">
        <v>3</v>
      </c>
    </row>
    <row r="27" spans="1:4" ht="12.75">
      <c r="A27" t="s">
        <v>7</v>
      </c>
      <c r="B27">
        <v>7084</v>
      </c>
      <c r="C27">
        <v>111</v>
      </c>
      <c r="D27">
        <v>4</v>
      </c>
    </row>
    <row r="28" spans="1:4" ht="12.75">
      <c r="A28" t="s">
        <v>7</v>
      </c>
      <c r="B28">
        <v>1438</v>
      </c>
      <c r="C28">
        <v>450</v>
      </c>
      <c r="D28">
        <v>4</v>
      </c>
    </row>
    <row r="29" spans="1:4" ht="12.75">
      <c r="A29" t="s">
        <v>7</v>
      </c>
      <c r="B29">
        <v>3136</v>
      </c>
      <c r="C29">
        <v>311</v>
      </c>
      <c r="D29">
        <v>5</v>
      </c>
    </row>
    <row r="30" spans="1:4" ht="12.75">
      <c r="A30" t="s">
        <v>7</v>
      </c>
      <c r="B30">
        <v>3752</v>
      </c>
      <c r="C30">
        <v>297</v>
      </c>
      <c r="D30">
        <v>7</v>
      </c>
    </row>
    <row r="31" spans="1:4" ht="12.75">
      <c r="A31" t="s">
        <v>7</v>
      </c>
      <c r="B31">
        <v>2174</v>
      </c>
      <c r="C31">
        <v>320</v>
      </c>
      <c r="D31">
        <v>2</v>
      </c>
    </row>
    <row r="32" spans="1:4" ht="12.75">
      <c r="A32" t="s">
        <v>7</v>
      </c>
      <c r="B32">
        <v>2304</v>
      </c>
      <c r="C32">
        <v>309</v>
      </c>
      <c r="D32">
        <v>2</v>
      </c>
    </row>
    <row r="33" spans="1:4" ht="12.75">
      <c r="A33" t="s">
        <v>7</v>
      </c>
      <c r="B33">
        <v>2086</v>
      </c>
      <c r="C33">
        <v>387</v>
      </c>
      <c r="D33">
        <v>5</v>
      </c>
    </row>
    <row r="34" spans="1:4" ht="12.75">
      <c r="A34" t="s">
        <v>7</v>
      </c>
      <c r="B34">
        <v>1704</v>
      </c>
      <c r="C34">
        <v>401</v>
      </c>
      <c r="D34">
        <v>3</v>
      </c>
    </row>
    <row r="35" spans="1:4" ht="12.75">
      <c r="A35" t="s">
        <v>7</v>
      </c>
      <c r="B35">
        <v>6306</v>
      </c>
      <c r="C35">
        <v>139</v>
      </c>
      <c r="D35">
        <v>4</v>
      </c>
    </row>
    <row r="36" spans="1:4" ht="12.75">
      <c r="A36" t="s">
        <v>7</v>
      </c>
      <c r="B36">
        <v>4146</v>
      </c>
      <c r="C36">
        <v>269</v>
      </c>
      <c r="D36">
        <v>8</v>
      </c>
    </row>
    <row r="37" spans="1:4" ht="12.75">
      <c r="A37" t="s">
        <v>7</v>
      </c>
      <c r="B37">
        <v>3066</v>
      </c>
      <c r="C37">
        <v>338</v>
      </c>
      <c r="D37">
        <v>6</v>
      </c>
    </row>
    <row r="38" spans="1:4" ht="12.75">
      <c r="A38" t="s">
        <v>7</v>
      </c>
      <c r="B38">
        <v>2002</v>
      </c>
      <c r="C38">
        <v>388</v>
      </c>
      <c r="D38">
        <v>4</v>
      </c>
    </row>
    <row r="39" spans="1:4" ht="12.75">
      <c r="A39" t="s">
        <v>7</v>
      </c>
      <c r="B39">
        <v>5742</v>
      </c>
      <c r="C39">
        <v>161</v>
      </c>
      <c r="D39">
        <v>4</v>
      </c>
    </row>
    <row r="40" spans="1:4" ht="12.75">
      <c r="A40" t="s">
        <v>7</v>
      </c>
      <c r="B40">
        <v>4996</v>
      </c>
      <c r="C40">
        <v>179</v>
      </c>
      <c r="D40">
        <v>3</v>
      </c>
    </row>
    <row r="41" spans="1:4" ht="12.75">
      <c r="A41" t="s">
        <v>7</v>
      </c>
      <c r="B41">
        <v>7064</v>
      </c>
      <c r="C41">
        <v>89</v>
      </c>
      <c r="D41">
        <v>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1" sqref="E1:F21"/>
    </sheetView>
  </sheetViews>
  <sheetFormatPr defaultColWidth="9.140625" defaultRowHeight="12.75"/>
  <sheetData>
    <row r="1" spans="1:6" ht="12.75">
      <c r="A1" t="s">
        <v>0</v>
      </c>
      <c r="B1" t="s">
        <v>4</v>
      </c>
      <c r="C1" t="s">
        <v>2</v>
      </c>
      <c r="D1" t="s">
        <v>3</v>
      </c>
      <c r="E1" t="s">
        <v>9</v>
      </c>
      <c r="F1" t="s">
        <v>10</v>
      </c>
    </row>
    <row r="2" spans="1:6" ht="12.75">
      <c r="A2" t="s">
        <v>8</v>
      </c>
      <c r="B2">
        <v>1</v>
      </c>
      <c r="C2">
        <v>4462</v>
      </c>
      <c r="D2">
        <v>459</v>
      </c>
      <c r="E2">
        <f>LN(C2)</f>
        <v>8.403352374992478</v>
      </c>
      <c r="F2">
        <f>LN(D2)</f>
        <v>6.129050210060545</v>
      </c>
    </row>
    <row r="3" spans="1:6" ht="12.75">
      <c r="A3" t="s">
        <v>8</v>
      </c>
      <c r="B3">
        <v>1</v>
      </c>
      <c r="C3">
        <v>3724</v>
      </c>
      <c r="D3">
        <v>615</v>
      </c>
      <c r="E3">
        <f aca="true" t="shared" si="0" ref="E3:E21">LN(C3)</f>
        <v>8.222553638396958</v>
      </c>
      <c r="F3">
        <f aca="true" t="shared" si="1" ref="F3:F21">LN(D3)</f>
        <v>6.421622267806518</v>
      </c>
    </row>
    <row r="4" spans="1:6" ht="12.75">
      <c r="A4" t="s">
        <v>8</v>
      </c>
      <c r="B4">
        <v>1</v>
      </c>
      <c r="C4">
        <v>4016</v>
      </c>
      <c r="D4">
        <v>540</v>
      </c>
      <c r="E4">
        <f t="shared" si="0"/>
        <v>8.298041661371565</v>
      </c>
      <c r="F4">
        <f t="shared" si="1"/>
        <v>6.29156913955832</v>
      </c>
    </row>
    <row r="5" spans="1:6" ht="12.75">
      <c r="A5" t="s">
        <v>8</v>
      </c>
      <c r="B5">
        <v>1</v>
      </c>
      <c r="C5">
        <v>2556</v>
      </c>
      <c r="D5">
        <v>888</v>
      </c>
      <c r="E5">
        <f t="shared" si="0"/>
        <v>7.846198815497425</v>
      </c>
      <c r="F5">
        <f t="shared" si="1"/>
        <v>6.78897174299217</v>
      </c>
    </row>
    <row r="6" spans="1:6" ht="12.75">
      <c r="A6" t="s">
        <v>8</v>
      </c>
      <c r="B6">
        <v>1</v>
      </c>
      <c r="C6">
        <v>2130</v>
      </c>
      <c r="D6">
        <v>1001</v>
      </c>
      <c r="E6">
        <f t="shared" si="0"/>
        <v>7.6638772587034705</v>
      </c>
      <c r="F6">
        <f t="shared" si="1"/>
        <v>6.90875477931522</v>
      </c>
    </row>
    <row r="7" spans="1:6" ht="12.75">
      <c r="A7" t="s">
        <v>8</v>
      </c>
      <c r="B7">
        <v>1</v>
      </c>
      <c r="C7">
        <v>5040</v>
      </c>
      <c r="D7">
        <v>333</v>
      </c>
      <c r="E7">
        <f t="shared" si="0"/>
        <v>8.525161361065415</v>
      </c>
      <c r="F7">
        <f t="shared" si="1"/>
        <v>5.808142489980444</v>
      </c>
    </row>
    <row r="8" spans="1:6" ht="12.75">
      <c r="A8" t="s">
        <v>8</v>
      </c>
      <c r="B8">
        <v>1</v>
      </c>
      <c r="C8">
        <v>1284</v>
      </c>
      <c r="D8">
        <v>1305</v>
      </c>
      <c r="E8">
        <f t="shared" si="0"/>
        <v>7.157735484249907</v>
      </c>
      <c r="F8">
        <f t="shared" si="1"/>
        <v>7.173958319756794</v>
      </c>
    </row>
    <row r="9" spans="1:6" ht="12.75">
      <c r="A9" t="s">
        <v>8</v>
      </c>
      <c r="B9">
        <v>1</v>
      </c>
      <c r="C9">
        <v>2410</v>
      </c>
      <c r="D9">
        <v>933</v>
      </c>
      <c r="E9">
        <f t="shared" si="0"/>
        <v>7.787382026484701</v>
      </c>
      <c r="F9">
        <f t="shared" si="1"/>
        <v>6.838405200847344</v>
      </c>
    </row>
    <row r="10" spans="1:6" ht="12.75">
      <c r="A10" t="s">
        <v>8</v>
      </c>
      <c r="B10">
        <v>1</v>
      </c>
      <c r="C10">
        <v>3767</v>
      </c>
      <c r="D10">
        <v>590</v>
      </c>
      <c r="E10">
        <f t="shared" si="0"/>
        <v>8.23403420769204</v>
      </c>
      <c r="F10">
        <f t="shared" si="1"/>
        <v>6.380122536899765</v>
      </c>
    </row>
    <row r="11" spans="1:6" ht="12.75">
      <c r="A11" t="s">
        <v>8</v>
      </c>
      <c r="B11">
        <v>1</v>
      </c>
      <c r="C11">
        <v>3346</v>
      </c>
      <c r="D11">
        <v>687</v>
      </c>
      <c r="E11">
        <f t="shared" si="0"/>
        <v>8.11552088154677</v>
      </c>
      <c r="F11">
        <f t="shared" si="1"/>
        <v>6.532334292222349</v>
      </c>
    </row>
    <row r="12" spans="1:6" ht="12.75">
      <c r="A12" t="s">
        <v>8</v>
      </c>
      <c r="B12">
        <v>1</v>
      </c>
      <c r="C12">
        <v>2495</v>
      </c>
      <c r="D12">
        <v>911</v>
      </c>
      <c r="E12">
        <f t="shared" si="0"/>
        <v>7.822044008185619</v>
      </c>
      <c r="F12">
        <f t="shared" si="1"/>
        <v>6.814542897259958</v>
      </c>
    </row>
    <row r="13" spans="1:6" ht="12.75">
      <c r="A13" t="s">
        <v>8</v>
      </c>
      <c r="B13">
        <v>1</v>
      </c>
      <c r="C13">
        <v>1780</v>
      </c>
      <c r="D13">
        <v>1106</v>
      </c>
      <c r="E13">
        <f t="shared" si="0"/>
        <v>7.484368643286131</v>
      </c>
      <c r="F13">
        <f t="shared" si="1"/>
        <v>7.00850518208228</v>
      </c>
    </row>
    <row r="14" spans="1:6" ht="12.75">
      <c r="A14" t="s">
        <v>8</v>
      </c>
      <c r="B14">
        <v>1</v>
      </c>
      <c r="C14">
        <v>1560</v>
      </c>
      <c r="D14">
        <v>1198</v>
      </c>
      <c r="E14">
        <f t="shared" si="0"/>
        <v>7.352441100243583</v>
      </c>
      <c r="F14">
        <f t="shared" si="1"/>
        <v>7.088408778675395</v>
      </c>
    </row>
    <row r="15" spans="1:6" ht="12.75">
      <c r="A15" t="s">
        <v>8</v>
      </c>
      <c r="B15">
        <v>1</v>
      </c>
      <c r="C15">
        <v>4169</v>
      </c>
      <c r="D15">
        <v>489</v>
      </c>
      <c r="E15">
        <f t="shared" si="0"/>
        <v>8.335431477880796</v>
      </c>
      <c r="F15">
        <f t="shared" si="1"/>
        <v>6.192362489474872</v>
      </c>
    </row>
    <row r="16" spans="1:6" ht="12.75">
      <c r="A16" t="s">
        <v>8</v>
      </c>
      <c r="B16">
        <v>1</v>
      </c>
      <c r="C16">
        <v>2766</v>
      </c>
      <c r="D16">
        <v>802</v>
      </c>
      <c r="E16">
        <f t="shared" si="0"/>
        <v>7.925157512224703</v>
      </c>
      <c r="F16">
        <f t="shared" si="1"/>
        <v>6.687108607866515</v>
      </c>
    </row>
    <row r="17" spans="1:6" ht="12.75">
      <c r="A17" t="s">
        <v>8</v>
      </c>
      <c r="B17">
        <v>1</v>
      </c>
      <c r="C17">
        <v>2289</v>
      </c>
      <c r="D17">
        <v>951</v>
      </c>
      <c r="E17">
        <f t="shared" si="0"/>
        <v>7.735870319952567</v>
      </c>
      <c r="F17">
        <f t="shared" si="1"/>
        <v>6.85751406254539</v>
      </c>
    </row>
    <row r="18" spans="1:6" ht="12.75">
      <c r="A18" t="s">
        <v>8</v>
      </c>
      <c r="B18">
        <v>1</v>
      </c>
      <c r="C18">
        <v>2228</v>
      </c>
      <c r="D18">
        <v>987</v>
      </c>
      <c r="E18">
        <f t="shared" si="0"/>
        <v>7.708859601047175</v>
      </c>
      <c r="F18">
        <f t="shared" si="1"/>
        <v>6.894670039433482</v>
      </c>
    </row>
    <row r="19" spans="1:6" ht="12.75">
      <c r="A19" t="s">
        <v>8</v>
      </c>
      <c r="B19">
        <v>1</v>
      </c>
      <c r="C19">
        <v>1651</v>
      </c>
      <c r="D19">
        <v>1180</v>
      </c>
      <c r="E19">
        <f t="shared" si="0"/>
        <v>7.409136443920128</v>
      </c>
      <c r="F19">
        <f t="shared" si="1"/>
        <v>7.07326971745971</v>
      </c>
    </row>
    <row r="20" spans="1:6" ht="12.75">
      <c r="A20" t="s">
        <v>8</v>
      </c>
      <c r="B20">
        <v>1</v>
      </c>
      <c r="C20">
        <v>3359</v>
      </c>
      <c r="D20">
        <v>671</v>
      </c>
      <c r="E20">
        <f t="shared" si="0"/>
        <v>8.119398589612294</v>
      </c>
      <c r="F20">
        <f t="shared" si="1"/>
        <v>6.508769136971682</v>
      </c>
    </row>
    <row r="21" spans="1:6" ht="12.75">
      <c r="A21" t="s">
        <v>8</v>
      </c>
      <c r="B21">
        <v>1</v>
      </c>
      <c r="C21">
        <v>1341</v>
      </c>
      <c r="D21">
        <v>1267</v>
      </c>
      <c r="E21">
        <f t="shared" si="0"/>
        <v>7.201170883281678</v>
      </c>
      <c r="F21">
        <f t="shared" si="1"/>
        <v>7.144407180321139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1" sqref="A11"/>
    </sheetView>
  </sheetViews>
  <sheetFormatPr defaultColWidth="9.140625" defaultRowHeight="12.75"/>
  <cols>
    <col min="1" max="5" width="10.7109375" style="0" customWidth="1"/>
  </cols>
  <sheetData>
    <row r="1" spans="1:5" ht="12.75">
      <c r="A1" s="7" t="s">
        <v>35</v>
      </c>
      <c r="B1" s="7" t="s">
        <v>38</v>
      </c>
      <c r="C1" s="7" t="s">
        <v>39</v>
      </c>
      <c r="D1" s="7" t="s">
        <v>40</v>
      </c>
      <c r="E1" s="7" t="s">
        <v>41</v>
      </c>
    </row>
    <row r="2" spans="1:5" ht="12.75">
      <c r="A2" t="s">
        <v>34</v>
      </c>
      <c r="B2">
        <v>33000</v>
      </c>
      <c r="C2">
        <v>33000</v>
      </c>
      <c r="D2">
        <v>46000</v>
      </c>
      <c r="E2">
        <v>166000</v>
      </c>
    </row>
    <row r="3" spans="1:5" ht="12.75">
      <c r="A3" t="s">
        <v>36</v>
      </c>
      <c r="B3">
        <v>320</v>
      </c>
      <c r="C3">
        <v>20</v>
      </c>
      <c r="D3">
        <v>800</v>
      </c>
      <c r="E3">
        <v>1600</v>
      </c>
    </row>
    <row r="4" spans="1:5" ht="12.75">
      <c r="A4" t="s">
        <v>37</v>
      </c>
      <c r="B4">
        <v>50</v>
      </c>
      <c r="C4">
        <v>220</v>
      </c>
      <c r="D4">
        <v>20</v>
      </c>
      <c r="E4">
        <v>200</v>
      </c>
    </row>
    <row r="6" spans="1:5" ht="12.75">
      <c r="A6" t="s">
        <v>42</v>
      </c>
      <c r="B6" s="25">
        <v>0.51</v>
      </c>
      <c r="C6" s="25">
        <v>0.77</v>
      </c>
      <c r="D6" s="25">
        <v>0.58</v>
      </c>
      <c r="E6" s="25">
        <v>0.36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A3" sqref="A3:G18"/>
    </sheetView>
  </sheetViews>
  <sheetFormatPr defaultColWidth="9.140625" defaultRowHeight="12.75"/>
  <cols>
    <col min="1" max="1" width="16.8515625" style="0" customWidth="1"/>
    <col min="2" max="2" width="12.7109375" style="0" customWidth="1"/>
    <col min="3" max="3" width="15.7109375" style="0" customWidth="1"/>
    <col min="4" max="5" width="10.7109375" style="0" customWidth="1"/>
    <col min="6" max="6" width="13.7109375" style="0" customWidth="1"/>
    <col min="7" max="7" width="10.7109375" style="0" customWidth="1"/>
  </cols>
  <sheetData>
    <row r="1" spans="1:7" ht="12.75">
      <c r="A1" s="9" t="s">
        <v>32</v>
      </c>
      <c r="B1" s="10"/>
      <c r="C1" s="10"/>
      <c r="D1" s="10"/>
      <c r="E1" s="10"/>
      <c r="F1" s="10"/>
      <c r="G1" s="11"/>
    </row>
    <row r="2" spans="1:7" ht="13.5" thickBot="1">
      <c r="A2" s="12"/>
      <c r="B2" s="13"/>
      <c r="C2" s="13"/>
      <c r="D2" s="13"/>
      <c r="E2" s="13"/>
      <c r="F2" s="13"/>
      <c r="G2" s="14"/>
    </row>
    <row r="3" spans="1:7" ht="12.75">
      <c r="A3" s="15" t="s">
        <v>11</v>
      </c>
      <c r="B3" s="4"/>
      <c r="C3" s="13"/>
      <c r="D3" s="13"/>
      <c r="E3" s="13"/>
      <c r="F3" s="13"/>
      <c r="G3" s="14"/>
    </row>
    <row r="4" spans="1:7" ht="12.75">
      <c r="A4" s="16" t="s">
        <v>12</v>
      </c>
      <c r="B4" s="5">
        <v>0.9933776770026888</v>
      </c>
      <c r="C4" s="13"/>
      <c r="D4" s="13"/>
      <c r="E4" s="13"/>
      <c r="F4" s="13"/>
      <c r="G4" s="14"/>
    </row>
    <row r="5" spans="1:7" ht="12.75">
      <c r="A5" s="16" t="s">
        <v>13</v>
      </c>
      <c r="B5" s="5">
        <v>0.9867992091672582</v>
      </c>
      <c r="C5" s="13"/>
      <c r="D5" s="13"/>
      <c r="E5" s="13"/>
      <c r="F5" s="13"/>
      <c r="G5" s="14"/>
    </row>
    <row r="6" spans="1:7" ht="12.75">
      <c r="A6" s="16" t="s">
        <v>14</v>
      </c>
      <c r="B6" s="5">
        <v>0.9860658318987725</v>
      </c>
      <c r="C6" s="13"/>
      <c r="D6" s="13"/>
      <c r="E6" s="13"/>
      <c r="F6" s="13"/>
      <c r="G6" s="14"/>
    </row>
    <row r="7" spans="1:7" ht="12.75">
      <c r="A7" s="16" t="s">
        <v>15</v>
      </c>
      <c r="B7" s="5">
        <v>130.4203146458977</v>
      </c>
      <c r="C7" s="13"/>
      <c r="D7" s="13"/>
      <c r="E7" s="13"/>
      <c r="F7" s="13"/>
      <c r="G7" s="14"/>
    </row>
    <row r="8" spans="1:7" ht="13.5" thickBot="1">
      <c r="A8" s="17" t="s">
        <v>16</v>
      </c>
      <c r="B8" s="2">
        <v>20</v>
      </c>
      <c r="C8" s="13"/>
      <c r="D8" s="13"/>
      <c r="E8" s="13"/>
      <c r="F8" s="13"/>
      <c r="G8" s="14"/>
    </row>
    <row r="9" spans="1:7" ht="12.75">
      <c r="A9" s="12"/>
      <c r="B9" s="13"/>
      <c r="C9" s="13"/>
      <c r="D9" s="13"/>
      <c r="E9" s="13"/>
      <c r="F9" s="13"/>
      <c r="G9" s="14"/>
    </row>
    <row r="10" spans="1:7" ht="13.5" thickBot="1">
      <c r="A10" s="12" t="s">
        <v>17</v>
      </c>
      <c r="B10" s="13"/>
      <c r="C10" s="13"/>
      <c r="D10" s="13"/>
      <c r="E10" s="13"/>
      <c r="F10" s="13"/>
      <c r="G10" s="14"/>
    </row>
    <row r="11" spans="1:7" ht="12.75">
      <c r="A11" s="18"/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14"/>
    </row>
    <row r="12" spans="1:7" ht="12.75">
      <c r="A12" s="16" t="s">
        <v>18</v>
      </c>
      <c r="B12" s="1">
        <v>1</v>
      </c>
      <c r="C12" s="1">
        <v>22887156.29749797</v>
      </c>
      <c r="D12" s="1">
        <v>22887156.29749797</v>
      </c>
      <c r="E12" s="1">
        <v>1345.5546709333983</v>
      </c>
      <c r="F12" s="1">
        <v>2.2712771344967407E-18</v>
      </c>
      <c r="G12" s="14"/>
    </row>
    <row r="13" spans="1:7" ht="12.75">
      <c r="A13" s="16" t="s">
        <v>19</v>
      </c>
      <c r="B13" s="1">
        <v>18</v>
      </c>
      <c r="C13" s="1">
        <v>306170.25250202924</v>
      </c>
      <c r="D13" s="1">
        <v>17009.458472334958</v>
      </c>
      <c r="E13" s="1"/>
      <c r="F13" s="1"/>
      <c r="G13" s="14"/>
    </row>
    <row r="14" spans="1:7" ht="13.5" thickBot="1">
      <c r="A14" s="17" t="s">
        <v>20</v>
      </c>
      <c r="B14" s="2">
        <v>19</v>
      </c>
      <c r="C14" s="2">
        <v>23193326.549999997</v>
      </c>
      <c r="D14" s="2"/>
      <c r="E14" s="2"/>
      <c r="F14" s="2"/>
      <c r="G14" s="14"/>
    </row>
    <row r="15" spans="1:7" ht="13.5" thickBot="1">
      <c r="A15" s="12"/>
      <c r="B15" s="13"/>
      <c r="C15" s="13"/>
      <c r="D15" s="13"/>
      <c r="E15" s="13"/>
      <c r="F15" s="13"/>
      <c r="G15" s="14"/>
    </row>
    <row r="16" spans="1:7" ht="12.75">
      <c r="A16" s="18"/>
      <c r="B16" s="3" t="s">
        <v>27</v>
      </c>
      <c r="C16" s="3" t="s">
        <v>15</v>
      </c>
      <c r="D16" s="3" t="s">
        <v>28</v>
      </c>
      <c r="E16" s="3" t="s">
        <v>29</v>
      </c>
      <c r="F16" s="3" t="s">
        <v>30</v>
      </c>
      <c r="G16" s="19" t="s">
        <v>31</v>
      </c>
    </row>
    <row r="17" spans="1:7" ht="12.75">
      <c r="A17" s="16" t="s">
        <v>21</v>
      </c>
      <c r="B17" s="5">
        <v>6047.18024770312</v>
      </c>
      <c r="C17" s="5">
        <v>92.72013635020636</v>
      </c>
      <c r="D17" s="5">
        <v>65.21970831516859</v>
      </c>
      <c r="E17" s="5">
        <v>7.784451568120906E-23</v>
      </c>
      <c r="F17" s="5">
        <v>5852.3823189164605</v>
      </c>
      <c r="G17" s="20">
        <v>6241.978176489779</v>
      </c>
    </row>
    <row r="18" spans="1:7" ht="13.5" thickBot="1">
      <c r="A18" s="17" t="s">
        <v>3</v>
      </c>
      <c r="B18" s="6">
        <v>-3.817809079055306</v>
      </c>
      <c r="C18" s="6">
        <v>0.10407910100872357</v>
      </c>
      <c r="D18" s="6">
        <v>-36.68180299458303</v>
      </c>
      <c r="E18" s="6">
        <v>2.271277134496706E-18</v>
      </c>
      <c r="F18" s="6">
        <v>-4.036471325515988</v>
      </c>
      <c r="G18" s="21">
        <v>-3.5991468325946236</v>
      </c>
    </row>
    <row r="19" spans="1:7" ht="12.75">
      <c r="A19" s="12"/>
      <c r="B19" s="13"/>
      <c r="C19" s="13"/>
      <c r="D19" s="13"/>
      <c r="E19" s="13"/>
      <c r="F19" s="13"/>
      <c r="G19" s="14"/>
    </row>
    <row r="20" spans="1:7" ht="12.75">
      <c r="A20" s="12"/>
      <c r="B20" s="13"/>
      <c r="C20" s="13"/>
      <c r="D20" s="13"/>
      <c r="E20" s="13"/>
      <c r="F20" s="13"/>
      <c r="G20" s="14"/>
    </row>
    <row r="21" spans="1:7" ht="12.75">
      <c r="A21" s="12"/>
      <c r="B21" s="13"/>
      <c r="C21" s="13"/>
      <c r="D21" s="13"/>
      <c r="E21" s="13"/>
      <c r="F21" s="13"/>
      <c r="G21" s="14"/>
    </row>
    <row r="22" spans="1:7" ht="12.75">
      <c r="A22" s="12"/>
      <c r="B22" s="13"/>
      <c r="C22" s="13"/>
      <c r="D22" s="13"/>
      <c r="E22" s="13"/>
      <c r="F22" s="13"/>
      <c r="G22" s="14"/>
    </row>
    <row r="23" spans="1:7" ht="12.75">
      <c r="A23" s="12"/>
      <c r="B23" s="13"/>
      <c r="C23" s="13"/>
      <c r="D23" s="13"/>
      <c r="E23" s="13"/>
      <c r="F23" s="13"/>
      <c r="G23" s="14"/>
    </row>
    <row r="24" spans="1:7" ht="12.75">
      <c r="A24" s="12"/>
      <c r="B24" s="13"/>
      <c r="C24" s="13"/>
      <c r="D24" s="13"/>
      <c r="E24" s="13"/>
      <c r="F24" s="13"/>
      <c r="G24" s="14"/>
    </row>
    <row r="25" spans="1:7" ht="12.75">
      <c r="A25" s="12"/>
      <c r="B25" s="13"/>
      <c r="C25" s="13"/>
      <c r="D25" s="13"/>
      <c r="E25" s="13"/>
      <c r="F25" s="13"/>
      <c r="G25" s="14"/>
    </row>
    <row r="26" spans="1:7" ht="12.75">
      <c r="A26" s="12"/>
      <c r="B26" s="13"/>
      <c r="C26" s="13"/>
      <c r="D26" s="13"/>
      <c r="E26" s="13"/>
      <c r="F26" s="13"/>
      <c r="G26" s="14"/>
    </row>
    <row r="27" spans="1:7" ht="12.75">
      <c r="A27" s="12"/>
      <c r="B27" s="13"/>
      <c r="C27" s="13"/>
      <c r="D27" s="13"/>
      <c r="E27" s="13"/>
      <c r="F27" s="13"/>
      <c r="G27" s="14"/>
    </row>
    <row r="28" spans="1:7" ht="12.75">
      <c r="A28" s="12"/>
      <c r="B28" s="13"/>
      <c r="C28" s="13"/>
      <c r="D28" s="13"/>
      <c r="E28" s="13"/>
      <c r="F28" s="13"/>
      <c r="G28" s="14"/>
    </row>
    <row r="29" spans="1:7" ht="12.75">
      <c r="A29" s="12"/>
      <c r="B29" s="13"/>
      <c r="C29" s="13"/>
      <c r="D29" s="13"/>
      <c r="E29" s="13"/>
      <c r="F29" s="13"/>
      <c r="G29" s="14"/>
    </row>
    <row r="30" spans="1:7" ht="12.75">
      <c r="A30" s="12"/>
      <c r="B30" s="13"/>
      <c r="C30" s="13"/>
      <c r="D30" s="13"/>
      <c r="E30" s="13"/>
      <c r="F30" s="13"/>
      <c r="G30" s="14"/>
    </row>
    <row r="31" spans="1:7" ht="12.75">
      <c r="A31" s="12"/>
      <c r="B31" s="13"/>
      <c r="C31" s="13"/>
      <c r="D31" s="13"/>
      <c r="E31" s="13"/>
      <c r="F31" s="13"/>
      <c r="G31" s="14"/>
    </row>
    <row r="32" spans="1:7" ht="12.75">
      <c r="A32" s="12"/>
      <c r="B32" s="13"/>
      <c r="C32" s="13"/>
      <c r="D32" s="13"/>
      <c r="E32" s="13"/>
      <c r="F32" s="13"/>
      <c r="G32" s="14"/>
    </row>
    <row r="33" spans="1:7" ht="12.75">
      <c r="A33" s="12"/>
      <c r="B33" s="13"/>
      <c r="C33" s="13"/>
      <c r="D33" s="13"/>
      <c r="E33" s="13"/>
      <c r="F33" s="13"/>
      <c r="G33" s="14"/>
    </row>
    <row r="34" spans="1:7" ht="12.75">
      <c r="A34" s="12"/>
      <c r="B34" s="13"/>
      <c r="C34" s="13"/>
      <c r="D34" s="13"/>
      <c r="E34" s="13"/>
      <c r="F34" s="13"/>
      <c r="G34" s="14"/>
    </row>
    <row r="35" spans="1:7" ht="12.75">
      <c r="A35" s="12"/>
      <c r="B35" s="13"/>
      <c r="C35" s="13"/>
      <c r="D35" s="13"/>
      <c r="E35" s="13"/>
      <c r="F35" s="13"/>
      <c r="G35" s="14"/>
    </row>
    <row r="36" spans="1:7" ht="12.75">
      <c r="A36" s="12"/>
      <c r="B36" s="13"/>
      <c r="C36" s="13"/>
      <c r="D36" s="13"/>
      <c r="E36" s="13"/>
      <c r="F36" s="13"/>
      <c r="G36" s="14"/>
    </row>
    <row r="37" spans="1:7" ht="12.75">
      <c r="A37" s="12"/>
      <c r="B37" s="13"/>
      <c r="C37" s="13"/>
      <c r="D37" s="13"/>
      <c r="E37" s="13"/>
      <c r="F37" s="13"/>
      <c r="G37" s="14"/>
    </row>
    <row r="38" spans="1:7" ht="12.75">
      <c r="A38" s="12"/>
      <c r="B38" s="13"/>
      <c r="C38" s="13"/>
      <c r="D38" s="13"/>
      <c r="E38" s="13"/>
      <c r="F38" s="13"/>
      <c r="G38" s="14"/>
    </row>
    <row r="39" spans="1:7" ht="12.75">
      <c r="A39" s="12"/>
      <c r="B39" s="13"/>
      <c r="C39" s="13"/>
      <c r="D39" s="13"/>
      <c r="E39" s="13"/>
      <c r="F39" s="13"/>
      <c r="G39" s="14"/>
    </row>
    <row r="40" spans="1:7" ht="12.75">
      <c r="A40" s="12"/>
      <c r="B40" s="13"/>
      <c r="C40" s="13"/>
      <c r="D40" s="13"/>
      <c r="E40" s="13"/>
      <c r="F40" s="13"/>
      <c r="G40" s="14"/>
    </row>
    <row r="41" spans="1:7" ht="12.75">
      <c r="A41" s="12"/>
      <c r="B41" s="13"/>
      <c r="C41" s="13"/>
      <c r="D41" s="13"/>
      <c r="E41" s="13"/>
      <c r="F41" s="13"/>
      <c r="G41" s="14"/>
    </row>
    <row r="42" spans="1:7" ht="12.75">
      <c r="A42" s="12"/>
      <c r="B42" s="13"/>
      <c r="C42" s="13"/>
      <c r="D42" s="13"/>
      <c r="E42" s="13"/>
      <c r="F42" s="13"/>
      <c r="G42" s="14"/>
    </row>
    <row r="43" spans="1:7" ht="12.75">
      <c r="A43" s="12"/>
      <c r="B43" s="13"/>
      <c r="C43" s="13"/>
      <c r="D43" s="13"/>
      <c r="E43" s="13"/>
      <c r="F43" s="13"/>
      <c r="G43" s="14"/>
    </row>
    <row r="44" spans="1:7" ht="12.75">
      <c r="A44" s="12"/>
      <c r="B44" s="13"/>
      <c r="C44" s="13"/>
      <c r="D44" s="13"/>
      <c r="E44" s="13"/>
      <c r="F44" s="13"/>
      <c r="G44" s="14"/>
    </row>
    <row r="45" spans="1:7" ht="13.5" thickBot="1">
      <c r="A45" s="22"/>
      <c r="B45" s="23"/>
      <c r="C45" s="23"/>
      <c r="D45" s="23"/>
      <c r="E45" s="23"/>
      <c r="F45" s="23"/>
      <c r="G45" s="24"/>
    </row>
    <row r="46" spans="1:7" ht="12.75">
      <c r="A46" s="9" t="s">
        <v>33</v>
      </c>
      <c r="B46" s="10"/>
      <c r="C46" s="10"/>
      <c r="D46" s="10"/>
      <c r="E46" s="10"/>
      <c r="F46" s="10"/>
      <c r="G46" s="11"/>
    </row>
    <row r="47" spans="1:7" ht="13.5" thickBot="1">
      <c r="A47" s="12"/>
      <c r="B47" s="13"/>
      <c r="C47" s="13"/>
      <c r="D47" s="13"/>
      <c r="E47" s="13"/>
      <c r="F47" s="13"/>
      <c r="G47" s="14"/>
    </row>
    <row r="48" spans="1:7" ht="12.75">
      <c r="A48" s="15" t="s">
        <v>11</v>
      </c>
      <c r="B48" s="4"/>
      <c r="C48" s="13"/>
      <c r="D48" s="13"/>
      <c r="E48" s="13"/>
      <c r="F48" s="13"/>
      <c r="G48" s="14"/>
    </row>
    <row r="49" spans="1:7" ht="12.75">
      <c r="A49" s="16" t="s">
        <v>12</v>
      </c>
      <c r="B49" s="1">
        <v>0.966110840453386</v>
      </c>
      <c r="C49" s="13"/>
      <c r="D49" s="13"/>
      <c r="E49" s="13"/>
      <c r="F49" s="13"/>
      <c r="G49" s="14"/>
    </row>
    <row r="50" spans="1:7" ht="12.75">
      <c r="A50" s="16" t="s">
        <v>13</v>
      </c>
      <c r="B50" s="1">
        <v>0.9333701560415479</v>
      </c>
      <c r="C50" s="13"/>
      <c r="D50" s="13"/>
      <c r="E50" s="13"/>
      <c r="F50" s="13"/>
      <c r="G50" s="14"/>
    </row>
    <row r="51" spans="1:7" ht="12.75">
      <c r="A51" s="16" t="s">
        <v>14</v>
      </c>
      <c r="B51" s="1">
        <v>0.9296684980438561</v>
      </c>
      <c r="C51" s="13"/>
      <c r="D51" s="13"/>
      <c r="E51" s="13"/>
      <c r="F51" s="13"/>
      <c r="G51" s="14"/>
    </row>
    <row r="52" spans="1:7" ht="12.75">
      <c r="A52" s="16" t="s">
        <v>15</v>
      </c>
      <c r="B52" s="1">
        <v>0.10841888799710998</v>
      </c>
      <c r="C52" s="13"/>
      <c r="D52" s="13"/>
      <c r="E52" s="13"/>
      <c r="F52" s="13"/>
      <c r="G52" s="14"/>
    </row>
    <row r="53" spans="1:7" ht="13.5" thickBot="1">
      <c r="A53" s="17" t="s">
        <v>16</v>
      </c>
      <c r="B53" s="2">
        <v>20</v>
      </c>
      <c r="C53" s="13"/>
      <c r="D53" s="13"/>
      <c r="E53" s="13"/>
      <c r="F53" s="13"/>
      <c r="G53" s="14"/>
    </row>
    <row r="54" spans="1:7" ht="12.75">
      <c r="A54" s="12"/>
      <c r="B54" s="13"/>
      <c r="C54" s="13"/>
      <c r="D54" s="13"/>
      <c r="E54" s="13"/>
      <c r="F54" s="13"/>
      <c r="G54" s="14"/>
    </row>
    <row r="55" spans="1:7" ht="13.5" thickBot="1">
      <c r="A55" s="12" t="s">
        <v>17</v>
      </c>
      <c r="B55" s="13"/>
      <c r="C55" s="13"/>
      <c r="D55" s="13"/>
      <c r="E55" s="13"/>
      <c r="F55" s="13"/>
      <c r="G55" s="14"/>
    </row>
    <row r="56" spans="1:7" ht="12.75">
      <c r="A56" s="18"/>
      <c r="B56" s="3" t="s">
        <v>22</v>
      </c>
      <c r="C56" s="3" t="s">
        <v>23</v>
      </c>
      <c r="D56" s="3" t="s">
        <v>24</v>
      </c>
      <c r="E56" s="3" t="s">
        <v>25</v>
      </c>
      <c r="F56" s="3" t="s">
        <v>26</v>
      </c>
      <c r="G56" s="14"/>
    </row>
    <row r="57" spans="1:7" ht="12.75">
      <c r="A57" s="16" t="s">
        <v>18</v>
      </c>
      <c r="B57" s="1">
        <v>1</v>
      </c>
      <c r="C57" s="1">
        <v>2.963927092844333</v>
      </c>
      <c r="D57" s="1">
        <v>2.963927092844333</v>
      </c>
      <c r="E57" s="1">
        <v>252.1492143854362</v>
      </c>
      <c r="F57" s="1">
        <v>4.951414209354367E-12</v>
      </c>
      <c r="G57" s="14"/>
    </row>
    <row r="58" spans="1:7" ht="12.75">
      <c r="A58" s="16" t="s">
        <v>19</v>
      </c>
      <c r="B58" s="1">
        <v>18</v>
      </c>
      <c r="C58" s="1">
        <v>0.21158379494153784</v>
      </c>
      <c r="D58" s="1">
        <v>0.01175465527452988</v>
      </c>
      <c r="E58" s="1"/>
      <c r="F58" s="1"/>
      <c r="G58" s="14"/>
    </row>
    <row r="59" spans="1:7" ht="13.5" thickBot="1">
      <c r="A59" s="17" t="s">
        <v>20</v>
      </c>
      <c r="B59" s="2">
        <v>19</v>
      </c>
      <c r="C59" s="2">
        <v>3.175510887785871</v>
      </c>
      <c r="D59" s="2"/>
      <c r="E59" s="2"/>
      <c r="F59" s="2"/>
      <c r="G59" s="14"/>
    </row>
    <row r="60" spans="1:7" ht="13.5" thickBot="1">
      <c r="A60" s="12"/>
      <c r="B60" s="13"/>
      <c r="C60" s="13"/>
      <c r="D60" s="13"/>
      <c r="E60" s="13"/>
      <c r="F60" s="13"/>
      <c r="G60" s="14"/>
    </row>
    <row r="61" spans="1:7" ht="12.75">
      <c r="A61" s="18"/>
      <c r="B61" s="3" t="s">
        <v>27</v>
      </c>
      <c r="C61" s="3" t="s">
        <v>15</v>
      </c>
      <c r="D61" s="3" t="s">
        <v>28</v>
      </c>
      <c r="E61" s="3" t="s">
        <v>29</v>
      </c>
      <c r="F61" s="3" t="s">
        <v>30</v>
      </c>
      <c r="G61" s="19" t="s">
        <v>31</v>
      </c>
    </row>
    <row r="62" spans="1:7" ht="12.75">
      <c r="A62" s="16" t="s">
        <v>21</v>
      </c>
      <c r="B62" s="5">
        <v>14.819510933312143</v>
      </c>
      <c r="C62" s="5">
        <v>0.4384837554965067</v>
      </c>
      <c r="D62" s="5">
        <v>33.79717206748428</v>
      </c>
      <c r="E62" s="5">
        <v>9.723461779496433E-18</v>
      </c>
      <c r="F62" s="5">
        <v>13.898290034167884</v>
      </c>
      <c r="G62" s="20">
        <v>15.740731832456403</v>
      </c>
    </row>
    <row r="63" spans="1:7" ht="13.5" thickBot="1">
      <c r="A63" s="17" t="s">
        <v>10</v>
      </c>
      <c r="B63" s="6">
        <v>-1.0411853436559175</v>
      </c>
      <c r="C63" s="6">
        <v>0.06556910208547</v>
      </c>
      <c r="D63" s="6">
        <v>-15.879206982257005</v>
      </c>
      <c r="E63" s="6">
        <v>4.95141420936705E-12</v>
      </c>
      <c r="F63" s="6">
        <v>-1.1789410219953849</v>
      </c>
      <c r="G63" s="21">
        <v>-0.9034296653164502</v>
      </c>
    </row>
    <row r="64" spans="1:7" ht="12.75">
      <c r="A64" s="12"/>
      <c r="B64" s="13"/>
      <c r="C64" s="13"/>
      <c r="D64" s="13"/>
      <c r="E64" s="13"/>
      <c r="F64" s="13"/>
      <c r="G64" s="14"/>
    </row>
    <row r="65" spans="1:7" ht="12.75">
      <c r="A65" s="12"/>
      <c r="B65" s="13"/>
      <c r="C65" s="13"/>
      <c r="D65" s="13"/>
      <c r="E65" s="13"/>
      <c r="F65" s="13"/>
      <c r="G65" s="14"/>
    </row>
    <row r="66" spans="1:7" ht="12.75">
      <c r="A66" s="12"/>
      <c r="B66" s="13"/>
      <c r="C66" s="13"/>
      <c r="D66" s="13"/>
      <c r="E66" s="13"/>
      <c r="F66" s="13"/>
      <c r="G66" s="14"/>
    </row>
    <row r="67" spans="1:7" ht="12.75">
      <c r="A67" s="12"/>
      <c r="B67" s="13"/>
      <c r="C67" s="13"/>
      <c r="D67" s="13"/>
      <c r="E67" s="13"/>
      <c r="F67" s="13"/>
      <c r="G67" s="14"/>
    </row>
    <row r="68" spans="1:7" ht="12.75">
      <c r="A68" s="12"/>
      <c r="B68" s="13"/>
      <c r="C68" s="13"/>
      <c r="D68" s="13"/>
      <c r="E68" s="13"/>
      <c r="F68" s="13"/>
      <c r="G68" s="14"/>
    </row>
    <row r="69" spans="1:7" ht="12.75">
      <c r="A69" s="12"/>
      <c r="B69" s="13"/>
      <c r="C69" s="13"/>
      <c r="D69" s="13"/>
      <c r="E69" s="13"/>
      <c r="F69" s="13"/>
      <c r="G69" s="14"/>
    </row>
    <row r="70" spans="1:7" ht="12.75">
      <c r="A70" s="12"/>
      <c r="B70" s="13"/>
      <c r="C70" s="13"/>
      <c r="D70" s="13"/>
      <c r="E70" s="13"/>
      <c r="F70" s="13"/>
      <c r="G70" s="14"/>
    </row>
    <row r="71" spans="1:7" ht="12.75">
      <c r="A71" s="12"/>
      <c r="B71" s="13"/>
      <c r="C71" s="13"/>
      <c r="D71" s="13"/>
      <c r="E71" s="13"/>
      <c r="F71" s="13"/>
      <c r="G71" s="14"/>
    </row>
    <row r="72" spans="1:7" ht="12.75">
      <c r="A72" s="12"/>
      <c r="B72" s="13"/>
      <c r="C72" s="13"/>
      <c r="D72" s="13"/>
      <c r="E72" s="13"/>
      <c r="F72" s="13"/>
      <c r="G72" s="14"/>
    </row>
    <row r="73" spans="1:7" ht="12.75">
      <c r="A73" s="12"/>
      <c r="B73" s="13"/>
      <c r="C73" s="13"/>
      <c r="D73" s="13"/>
      <c r="E73" s="13"/>
      <c r="F73" s="13"/>
      <c r="G73" s="14"/>
    </row>
    <row r="74" spans="1:7" ht="12.75">
      <c r="A74" s="12"/>
      <c r="B74" s="13"/>
      <c r="C74" s="13"/>
      <c r="D74" s="13"/>
      <c r="E74" s="13"/>
      <c r="F74" s="13"/>
      <c r="G74" s="14"/>
    </row>
    <row r="75" spans="1:7" ht="12.75">
      <c r="A75" s="12"/>
      <c r="B75" s="13"/>
      <c r="C75" s="13"/>
      <c r="D75" s="13"/>
      <c r="E75" s="13"/>
      <c r="F75" s="13"/>
      <c r="G75" s="14"/>
    </row>
    <row r="76" spans="1:7" ht="12.75">
      <c r="A76" s="12"/>
      <c r="B76" s="13"/>
      <c r="C76" s="13"/>
      <c r="D76" s="13"/>
      <c r="E76" s="13"/>
      <c r="F76" s="13"/>
      <c r="G76" s="14"/>
    </row>
    <row r="77" spans="1:7" ht="12.75">
      <c r="A77" s="12"/>
      <c r="B77" s="13"/>
      <c r="C77" s="13"/>
      <c r="D77" s="13"/>
      <c r="E77" s="13"/>
      <c r="F77" s="13"/>
      <c r="G77" s="14"/>
    </row>
    <row r="78" spans="1:7" ht="12.75">
      <c r="A78" s="12"/>
      <c r="B78" s="13"/>
      <c r="C78" s="13"/>
      <c r="D78" s="13"/>
      <c r="E78" s="13"/>
      <c r="F78" s="13"/>
      <c r="G78" s="14"/>
    </row>
    <row r="79" spans="1:7" ht="12.75">
      <c r="A79" s="12"/>
      <c r="B79" s="13"/>
      <c r="C79" s="13"/>
      <c r="D79" s="13"/>
      <c r="E79" s="13"/>
      <c r="F79" s="13"/>
      <c r="G79" s="14"/>
    </row>
    <row r="80" spans="1:7" ht="12.75">
      <c r="A80" s="12"/>
      <c r="B80" s="13"/>
      <c r="C80" s="13"/>
      <c r="D80" s="13"/>
      <c r="E80" s="13"/>
      <c r="F80" s="13"/>
      <c r="G80" s="14"/>
    </row>
    <row r="81" spans="1:7" ht="12.75">
      <c r="A81" s="12"/>
      <c r="B81" s="13"/>
      <c r="C81" s="13"/>
      <c r="D81" s="13"/>
      <c r="E81" s="13"/>
      <c r="F81" s="13"/>
      <c r="G81" s="14"/>
    </row>
    <row r="82" spans="1:7" ht="12.75">
      <c r="A82" s="12"/>
      <c r="B82" s="13"/>
      <c r="C82" s="13"/>
      <c r="D82" s="13"/>
      <c r="E82" s="13"/>
      <c r="F82" s="13"/>
      <c r="G82" s="14"/>
    </row>
    <row r="83" spans="1:7" ht="12.75">
      <c r="A83" s="12"/>
      <c r="B83" s="13"/>
      <c r="C83" s="13"/>
      <c r="D83" s="13"/>
      <c r="E83" s="13"/>
      <c r="F83" s="13"/>
      <c r="G83" s="14"/>
    </row>
    <row r="84" spans="1:7" ht="12.75">
      <c r="A84" s="12"/>
      <c r="B84" s="13"/>
      <c r="C84" s="13"/>
      <c r="D84" s="13"/>
      <c r="E84" s="13"/>
      <c r="F84" s="13"/>
      <c r="G84" s="14"/>
    </row>
    <row r="85" spans="1:7" ht="12.75">
      <c r="A85" s="12"/>
      <c r="B85" s="13"/>
      <c r="C85" s="13"/>
      <c r="D85" s="13"/>
      <c r="E85" s="13"/>
      <c r="F85" s="13"/>
      <c r="G85" s="14"/>
    </row>
    <row r="86" spans="1:7" ht="12.75">
      <c r="A86" s="12"/>
      <c r="B86" s="13"/>
      <c r="C86" s="13"/>
      <c r="D86" s="13"/>
      <c r="E86" s="13"/>
      <c r="F86" s="13"/>
      <c r="G86" s="14"/>
    </row>
    <row r="87" spans="1:7" ht="12.75">
      <c r="A87" s="12"/>
      <c r="B87" s="13"/>
      <c r="C87" s="13"/>
      <c r="D87" s="13"/>
      <c r="E87" s="13"/>
      <c r="F87" s="13"/>
      <c r="G87" s="14"/>
    </row>
    <row r="88" spans="1:7" ht="12.75">
      <c r="A88" s="12"/>
      <c r="B88" s="13"/>
      <c r="C88" s="13"/>
      <c r="D88" s="13"/>
      <c r="E88" s="13"/>
      <c r="F88" s="13"/>
      <c r="G88" s="14"/>
    </row>
    <row r="89" spans="1:7" ht="12.75">
      <c r="A89" s="12"/>
      <c r="B89" s="13"/>
      <c r="C89" s="13"/>
      <c r="D89" s="13"/>
      <c r="E89" s="13"/>
      <c r="F89" s="13"/>
      <c r="G89" s="14"/>
    </row>
    <row r="90" spans="1:7" ht="13.5" thickBot="1">
      <c r="A90" s="22"/>
      <c r="B90" s="23"/>
      <c r="C90" s="23"/>
      <c r="D90" s="23"/>
      <c r="E90" s="23"/>
      <c r="F90" s="23"/>
      <c r="G90" s="24"/>
    </row>
  </sheetData>
  <mergeCells count="2">
    <mergeCell ref="A1:G1"/>
    <mergeCell ref="A46:G4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B13" sqref="B13"/>
    </sheetView>
  </sheetViews>
  <sheetFormatPr defaultColWidth="9.140625" defaultRowHeight="12.75"/>
  <cols>
    <col min="1" max="5" width="10.7109375" style="0" customWidth="1"/>
  </cols>
  <sheetData>
    <row r="1" spans="1:5" ht="12.75">
      <c r="A1" s="27" t="s">
        <v>3</v>
      </c>
      <c r="B1" s="27" t="s">
        <v>43</v>
      </c>
      <c r="C1" s="27" t="s">
        <v>44</v>
      </c>
      <c r="D1" s="27" t="s">
        <v>35</v>
      </c>
      <c r="E1" s="27" t="s">
        <v>45</v>
      </c>
    </row>
    <row r="2" spans="1:5" ht="12.75">
      <c r="A2" s="28">
        <v>875</v>
      </c>
      <c r="B2" s="29">
        <f>6047.18-3.82*A2</f>
        <v>2704.6800000000003</v>
      </c>
      <c r="C2" s="29">
        <f>A2*B2</f>
        <v>2366595.0000000005</v>
      </c>
      <c r="D2" s="28">
        <f>200*B2</f>
        <v>540936</v>
      </c>
      <c r="E2" s="29">
        <f>C2-D2</f>
        <v>1825659.0000000005</v>
      </c>
    </row>
    <row r="3" spans="1:5" ht="12.75">
      <c r="A3" s="28">
        <v>876</v>
      </c>
      <c r="B3" s="29">
        <f aca="true" t="shared" si="0" ref="B3:B42">6047.18-3.82*A3</f>
        <v>2700.8600000000006</v>
      </c>
      <c r="C3" s="29">
        <f aca="true" t="shared" si="1" ref="C3:C42">A3*B3</f>
        <v>2365953.3600000003</v>
      </c>
      <c r="D3" s="28">
        <f aca="true" t="shared" si="2" ref="D3:D42">200*B3</f>
        <v>540172.0000000001</v>
      </c>
      <c r="E3" s="29">
        <f aca="true" t="shared" si="3" ref="E3:E42">C3-D3</f>
        <v>1825781.3600000003</v>
      </c>
    </row>
    <row r="4" spans="1:5" ht="12.75">
      <c r="A4" s="28">
        <v>877</v>
      </c>
      <c r="B4" s="29">
        <f t="shared" si="0"/>
        <v>2697.0400000000004</v>
      </c>
      <c r="C4" s="29">
        <f t="shared" si="1"/>
        <v>2365304.0800000005</v>
      </c>
      <c r="D4" s="28">
        <f t="shared" si="2"/>
        <v>539408.0000000001</v>
      </c>
      <c r="E4" s="29">
        <f t="shared" si="3"/>
        <v>1825896.0800000005</v>
      </c>
    </row>
    <row r="5" spans="1:5" ht="12.75">
      <c r="A5" s="28">
        <v>878</v>
      </c>
      <c r="B5" s="29">
        <f t="shared" si="0"/>
        <v>2693.2200000000003</v>
      </c>
      <c r="C5" s="29">
        <f t="shared" si="1"/>
        <v>2364647.16</v>
      </c>
      <c r="D5" s="28">
        <f t="shared" si="2"/>
        <v>538644</v>
      </c>
      <c r="E5" s="29">
        <f t="shared" si="3"/>
        <v>1826003.1600000001</v>
      </c>
    </row>
    <row r="6" spans="1:5" ht="12.75">
      <c r="A6" s="28">
        <v>879</v>
      </c>
      <c r="B6" s="29">
        <f t="shared" si="0"/>
        <v>2689.4000000000005</v>
      </c>
      <c r="C6" s="29">
        <f t="shared" si="1"/>
        <v>2363982.6000000006</v>
      </c>
      <c r="D6" s="28">
        <f t="shared" si="2"/>
        <v>537880.0000000001</v>
      </c>
      <c r="E6" s="29">
        <f t="shared" si="3"/>
        <v>1826102.6000000006</v>
      </c>
    </row>
    <row r="7" spans="1:5" ht="12.75">
      <c r="A7" s="28">
        <v>880</v>
      </c>
      <c r="B7" s="29">
        <f t="shared" si="0"/>
        <v>2685.5800000000004</v>
      </c>
      <c r="C7" s="29">
        <f t="shared" si="1"/>
        <v>2363310.4000000004</v>
      </c>
      <c r="D7" s="28">
        <f t="shared" si="2"/>
        <v>537116.0000000001</v>
      </c>
      <c r="E7" s="29">
        <f t="shared" si="3"/>
        <v>1826194.4000000004</v>
      </c>
    </row>
    <row r="8" spans="1:5" ht="12.75">
      <c r="A8" s="28">
        <v>881</v>
      </c>
      <c r="B8" s="29">
        <f t="shared" si="0"/>
        <v>2681.76</v>
      </c>
      <c r="C8" s="29">
        <f t="shared" si="1"/>
        <v>2362630.56</v>
      </c>
      <c r="D8" s="28">
        <f t="shared" si="2"/>
        <v>536352</v>
      </c>
      <c r="E8" s="29">
        <f t="shared" si="3"/>
        <v>1826278.56</v>
      </c>
    </row>
    <row r="9" spans="1:5" ht="12.75">
      <c r="A9" s="28">
        <v>882</v>
      </c>
      <c r="B9" s="29">
        <f t="shared" si="0"/>
        <v>2677.9400000000005</v>
      </c>
      <c r="C9" s="29">
        <f t="shared" si="1"/>
        <v>2361943.0800000005</v>
      </c>
      <c r="D9" s="28">
        <f t="shared" si="2"/>
        <v>535588.0000000001</v>
      </c>
      <c r="E9" s="29">
        <f t="shared" si="3"/>
        <v>1826355.0800000005</v>
      </c>
    </row>
    <row r="10" spans="1:5" ht="12.75">
      <c r="A10" s="28">
        <v>883</v>
      </c>
      <c r="B10" s="29">
        <f t="shared" si="0"/>
        <v>2674.1200000000003</v>
      </c>
      <c r="C10" s="29">
        <f t="shared" si="1"/>
        <v>2361247.9600000004</v>
      </c>
      <c r="D10" s="28">
        <f t="shared" si="2"/>
        <v>534824.0000000001</v>
      </c>
      <c r="E10" s="29">
        <f t="shared" si="3"/>
        <v>1826423.9600000004</v>
      </c>
    </row>
    <row r="11" spans="1:5" ht="12.75">
      <c r="A11" s="28">
        <v>884</v>
      </c>
      <c r="B11" s="29">
        <f t="shared" si="0"/>
        <v>2670.3000000000006</v>
      </c>
      <c r="C11" s="29">
        <f t="shared" si="1"/>
        <v>2360545.2000000007</v>
      </c>
      <c r="D11" s="28">
        <f t="shared" si="2"/>
        <v>534060.0000000001</v>
      </c>
      <c r="E11" s="29">
        <f t="shared" si="3"/>
        <v>1826485.2000000007</v>
      </c>
    </row>
    <row r="12" spans="1:5" ht="12.75">
      <c r="A12" s="28">
        <v>885</v>
      </c>
      <c r="B12" s="29">
        <f t="shared" si="0"/>
        <v>2666.4800000000005</v>
      </c>
      <c r="C12" s="29">
        <f t="shared" si="1"/>
        <v>2359834.8000000003</v>
      </c>
      <c r="D12" s="28">
        <f t="shared" si="2"/>
        <v>533296.0000000001</v>
      </c>
      <c r="E12" s="29">
        <f t="shared" si="3"/>
        <v>1826538.8000000003</v>
      </c>
    </row>
    <row r="13" spans="1:5" ht="12.75">
      <c r="A13" s="28">
        <v>886</v>
      </c>
      <c r="B13" s="29">
        <f t="shared" si="0"/>
        <v>2662.6600000000003</v>
      </c>
      <c r="C13" s="29">
        <f t="shared" si="1"/>
        <v>2359116.7600000002</v>
      </c>
      <c r="D13" s="28">
        <f t="shared" si="2"/>
        <v>532532.0000000001</v>
      </c>
      <c r="E13" s="29">
        <f t="shared" si="3"/>
        <v>1826584.7600000002</v>
      </c>
    </row>
    <row r="14" spans="1:5" ht="12.75">
      <c r="A14" s="28">
        <v>887</v>
      </c>
      <c r="B14" s="29">
        <f t="shared" si="0"/>
        <v>2658.8400000000006</v>
      </c>
      <c r="C14" s="29">
        <f t="shared" si="1"/>
        <v>2358391.0800000005</v>
      </c>
      <c r="D14" s="28">
        <f t="shared" si="2"/>
        <v>531768.0000000001</v>
      </c>
      <c r="E14" s="29">
        <f t="shared" si="3"/>
        <v>1826623.0800000005</v>
      </c>
    </row>
    <row r="15" spans="1:5" ht="12.75">
      <c r="A15" s="28">
        <v>888</v>
      </c>
      <c r="B15" s="29">
        <f t="shared" si="0"/>
        <v>2655.0200000000004</v>
      </c>
      <c r="C15" s="29">
        <f t="shared" si="1"/>
        <v>2357657.7600000002</v>
      </c>
      <c r="D15" s="28">
        <f t="shared" si="2"/>
        <v>531004.0000000001</v>
      </c>
      <c r="E15" s="29">
        <f t="shared" si="3"/>
        <v>1826653.7600000002</v>
      </c>
    </row>
    <row r="16" spans="1:5" ht="12.75">
      <c r="A16" s="28">
        <v>889</v>
      </c>
      <c r="B16" s="29">
        <f t="shared" si="0"/>
        <v>2651.2000000000003</v>
      </c>
      <c r="C16" s="29">
        <f t="shared" si="1"/>
        <v>2356916.8000000003</v>
      </c>
      <c r="D16" s="28">
        <f t="shared" si="2"/>
        <v>530240</v>
      </c>
      <c r="E16" s="29">
        <f t="shared" si="3"/>
        <v>1826676.8000000003</v>
      </c>
    </row>
    <row r="17" spans="1:5" ht="12.75">
      <c r="A17" s="28">
        <v>890</v>
      </c>
      <c r="B17" s="29">
        <f t="shared" si="0"/>
        <v>2647.3800000000006</v>
      </c>
      <c r="C17" s="29">
        <f t="shared" si="1"/>
        <v>2356168.2000000007</v>
      </c>
      <c r="D17" s="28">
        <f t="shared" si="2"/>
        <v>529476.0000000001</v>
      </c>
      <c r="E17" s="29">
        <f t="shared" si="3"/>
        <v>1826692.2000000007</v>
      </c>
    </row>
    <row r="18" spans="1:5" ht="12.75">
      <c r="A18" s="28">
        <v>891</v>
      </c>
      <c r="B18" s="29">
        <f t="shared" si="0"/>
        <v>2643.5600000000004</v>
      </c>
      <c r="C18" s="29">
        <f t="shared" si="1"/>
        <v>2355411.9600000004</v>
      </c>
      <c r="D18" s="28">
        <f t="shared" si="2"/>
        <v>528712.0000000001</v>
      </c>
      <c r="E18" s="29">
        <f t="shared" si="3"/>
        <v>1826699.9600000004</v>
      </c>
    </row>
    <row r="19" spans="1:5" ht="12.75">
      <c r="A19" s="30">
        <v>892</v>
      </c>
      <c r="B19" s="31">
        <f t="shared" si="0"/>
        <v>2639.7400000000002</v>
      </c>
      <c r="C19" s="31">
        <f t="shared" si="1"/>
        <v>2354648.08</v>
      </c>
      <c r="D19" s="30">
        <f t="shared" si="2"/>
        <v>527948</v>
      </c>
      <c r="E19" s="31">
        <f t="shared" si="3"/>
        <v>1826700.08</v>
      </c>
    </row>
    <row r="20" spans="1:5" ht="12.75">
      <c r="A20" s="28">
        <v>893</v>
      </c>
      <c r="B20" s="29">
        <f t="shared" si="0"/>
        <v>2635.9200000000005</v>
      </c>
      <c r="C20" s="29">
        <f t="shared" si="1"/>
        <v>2353876.5600000005</v>
      </c>
      <c r="D20" s="28">
        <f t="shared" si="2"/>
        <v>527184.0000000001</v>
      </c>
      <c r="E20" s="29">
        <f t="shared" si="3"/>
        <v>1826692.5600000005</v>
      </c>
    </row>
    <row r="21" spans="1:5" ht="12.75">
      <c r="A21" s="28">
        <v>894</v>
      </c>
      <c r="B21" s="29">
        <f t="shared" si="0"/>
        <v>2632.1000000000004</v>
      </c>
      <c r="C21" s="29">
        <f t="shared" si="1"/>
        <v>2353097.4000000004</v>
      </c>
      <c r="D21" s="28">
        <f t="shared" si="2"/>
        <v>526420.0000000001</v>
      </c>
      <c r="E21" s="29">
        <f t="shared" si="3"/>
        <v>1826677.4000000004</v>
      </c>
    </row>
    <row r="22" spans="1:5" ht="12.75">
      <c r="A22" s="28">
        <v>895</v>
      </c>
      <c r="B22" s="29">
        <f t="shared" si="0"/>
        <v>2628.2800000000007</v>
      </c>
      <c r="C22" s="29">
        <f t="shared" si="1"/>
        <v>2352310.6000000006</v>
      </c>
      <c r="D22" s="28">
        <f t="shared" si="2"/>
        <v>525656.0000000001</v>
      </c>
      <c r="E22" s="29">
        <f t="shared" si="3"/>
        <v>1826654.6000000006</v>
      </c>
    </row>
    <row r="23" spans="1:5" ht="12.75">
      <c r="A23" s="28">
        <v>896</v>
      </c>
      <c r="B23" s="29">
        <f t="shared" si="0"/>
        <v>2624.4600000000005</v>
      </c>
      <c r="C23" s="29">
        <f t="shared" si="1"/>
        <v>2351516.1600000006</v>
      </c>
      <c r="D23" s="28">
        <f t="shared" si="2"/>
        <v>524892.0000000001</v>
      </c>
      <c r="E23" s="29">
        <f t="shared" si="3"/>
        <v>1826624.1600000006</v>
      </c>
    </row>
    <row r="24" spans="1:5" ht="12.75">
      <c r="A24" s="28">
        <v>897</v>
      </c>
      <c r="B24" s="29">
        <f t="shared" si="0"/>
        <v>2620.6400000000003</v>
      </c>
      <c r="C24" s="29">
        <f t="shared" si="1"/>
        <v>2350714.08</v>
      </c>
      <c r="D24" s="28">
        <f t="shared" si="2"/>
        <v>524128.00000000006</v>
      </c>
      <c r="E24" s="29">
        <f t="shared" si="3"/>
        <v>1826586.08</v>
      </c>
    </row>
    <row r="25" spans="1:5" ht="12.75">
      <c r="A25" s="28">
        <v>898</v>
      </c>
      <c r="B25" s="29">
        <f t="shared" si="0"/>
        <v>2616.8200000000006</v>
      </c>
      <c r="C25" s="29">
        <f t="shared" si="1"/>
        <v>2349904.3600000003</v>
      </c>
      <c r="D25" s="28">
        <f t="shared" si="2"/>
        <v>523364.0000000001</v>
      </c>
      <c r="E25" s="29">
        <f t="shared" si="3"/>
        <v>1826540.3600000003</v>
      </c>
    </row>
    <row r="26" spans="1:5" ht="12.75">
      <c r="A26" s="28">
        <v>899</v>
      </c>
      <c r="B26" s="29">
        <f t="shared" si="0"/>
        <v>2613.0000000000005</v>
      </c>
      <c r="C26" s="29">
        <f t="shared" si="1"/>
        <v>2349087.0000000005</v>
      </c>
      <c r="D26" s="28">
        <f t="shared" si="2"/>
        <v>522600.0000000001</v>
      </c>
      <c r="E26" s="29">
        <f t="shared" si="3"/>
        <v>1826487.0000000005</v>
      </c>
    </row>
    <row r="27" spans="1:5" ht="12.75">
      <c r="A27" s="28">
        <v>900</v>
      </c>
      <c r="B27" s="29">
        <f t="shared" si="0"/>
        <v>2609.1800000000003</v>
      </c>
      <c r="C27" s="29">
        <f t="shared" si="1"/>
        <v>2348262.0000000005</v>
      </c>
      <c r="D27" s="28">
        <f t="shared" si="2"/>
        <v>521836.00000000006</v>
      </c>
      <c r="E27" s="29">
        <f t="shared" si="3"/>
        <v>1826426.0000000005</v>
      </c>
    </row>
    <row r="28" spans="1:5" ht="12.75">
      <c r="A28" s="28">
        <v>901</v>
      </c>
      <c r="B28" s="29">
        <f t="shared" si="0"/>
        <v>2605.3600000000006</v>
      </c>
      <c r="C28" s="29">
        <f t="shared" si="1"/>
        <v>2347429.3600000003</v>
      </c>
      <c r="D28" s="28">
        <f t="shared" si="2"/>
        <v>521072.0000000001</v>
      </c>
      <c r="E28" s="29">
        <f t="shared" si="3"/>
        <v>1826357.3600000003</v>
      </c>
    </row>
    <row r="29" spans="1:5" ht="12.75">
      <c r="A29" s="28">
        <v>902</v>
      </c>
      <c r="B29" s="29">
        <f t="shared" si="0"/>
        <v>2601.5400000000004</v>
      </c>
      <c r="C29" s="29">
        <f t="shared" si="1"/>
        <v>2346589.0800000005</v>
      </c>
      <c r="D29" s="28">
        <f t="shared" si="2"/>
        <v>520308.00000000006</v>
      </c>
      <c r="E29" s="29">
        <f t="shared" si="3"/>
        <v>1826281.0800000005</v>
      </c>
    </row>
    <row r="30" spans="1:5" ht="12.75">
      <c r="A30" s="28">
        <v>903</v>
      </c>
      <c r="B30" s="29">
        <f t="shared" si="0"/>
        <v>2597.7200000000003</v>
      </c>
      <c r="C30" s="29">
        <f t="shared" si="1"/>
        <v>2345741.16</v>
      </c>
      <c r="D30" s="28">
        <f t="shared" si="2"/>
        <v>519544.00000000006</v>
      </c>
      <c r="E30" s="29">
        <f t="shared" si="3"/>
        <v>1826197.1600000001</v>
      </c>
    </row>
    <row r="31" spans="1:5" ht="12.75">
      <c r="A31" s="28">
        <v>904</v>
      </c>
      <c r="B31" s="29">
        <f t="shared" si="0"/>
        <v>2593.9000000000005</v>
      </c>
      <c r="C31" s="29">
        <f t="shared" si="1"/>
        <v>2344885.6000000006</v>
      </c>
      <c r="D31" s="28">
        <f t="shared" si="2"/>
        <v>518780.0000000001</v>
      </c>
      <c r="E31" s="29">
        <f t="shared" si="3"/>
        <v>1826105.6000000006</v>
      </c>
    </row>
    <row r="32" spans="1:5" ht="12.75">
      <c r="A32" s="28">
        <v>905</v>
      </c>
      <c r="B32" s="29">
        <f t="shared" si="0"/>
        <v>2590.0800000000004</v>
      </c>
      <c r="C32" s="29">
        <f t="shared" si="1"/>
        <v>2344022.4000000004</v>
      </c>
      <c r="D32" s="28">
        <f t="shared" si="2"/>
        <v>518016.00000000006</v>
      </c>
      <c r="E32" s="29">
        <f t="shared" si="3"/>
        <v>1826006.4000000004</v>
      </c>
    </row>
    <row r="33" spans="1:5" ht="12.75">
      <c r="A33" s="28">
        <v>906</v>
      </c>
      <c r="B33" s="29">
        <f t="shared" si="0"/>
        <v>2586.26</v>
      </c>
      <c r="C33" s="29">
        <f t="shared" si="1"/>
        <v>2343151.56</v>
      </c>
      <c r="D33" s="28">
        <f t="shared" si="2"/>
        <v>517252.00000000006</v>
      </c>
      <c r="E33" s="29">
        <f t="shared" si="3"/>
        <v>1825899.56</v>
      </c>
    </row>
    <row r="34" spans="1:5" ht="12.75">
      <c r="A34" s="28">
        <v>907</v>
      </c>
      <c r="B34" s="29">
        <f t="shared" si="0"/>
        <v>2582.4400000000005</v>
      </c>
      <c r="C34" s="29">
        <f t="shared" si="1"/>
        <v>2342273.0800000005</v>
      </c>
      <c r="D34" s="28">
        <f t="shared" si="2"/>
        <v>516488.0000000001</v>
      </c>
      <c r="E34" s="29">
        <f t="shared" si="3"/>
        <v>1825785.0800000005</v>
      </c>
    </row>
    <row r="35" spans="1:5" ht="12.75">
      <c r="A35" s="28">
        <v>908</v>
      </c>
      <c r="B35" s="29">
        <f t="shared" si="0"/>
        <v>2578.6200000000003</v>
      </c>
      <c r="C35" s="29">
        <f t="shared" si="1"/>
        <v>2341386.9600000004</v>
      </c>
      <c r="D35" s="28">
        <f t="shared" si="2"/>
        <v>515724.00000000006</v>
      </c>
      <c r="E35" s="29">
        <f t="shared" si="3"/>
        <v>1825662.9600000004</v>
      </c>
    </row>
    <row r="36" spans="1:5" ht="12.75">
      <c r="A36" s="28">
        <v>909</v>
      </c>
      <c r="B36" s="29">
        <f t="shared" si="0"/>
        <v>2574.8000000000006</v>
      </c>
      <c r="C36" s="29">
        <f t="shared" si="1"/>
        <v>2340493.2000000007</v>
      </c>
      <c r="D36" s="28">
        <f t="shared" si="2"/>
        <v>514960.0000000001</v>
      </c>
      <c r="E36" s="29">
        <f t="shared" si="3"/>
        <v>1825533.2000000007</v>
      </c>
    </row>
    <row r="37" spans="1:5" ht="12.75">
      <c r="A37" s="28">
        <v>910</v>
      </c>
      <c r="B37" s="29">
        <f t="shared" si="0"/>
        <v>2570.9800000000005</v>
      </c>
      <c r="C37" s="29">
        <f t="shared" si="1"/>
        <v>2339591.8000000003</v>
      </c>
      <c r="D37" s="28">
        <f t="shared" si="2"/>
        <v>514196.0000000001</v>
      </c>
      <c r="E37" s="29">
        <f t="shared" si="3"/>
        <v>1825395.8000000003</v>
      </c>
    </row>
    <row r="38" spans="1:5" ht="12.75">
      <c r="A38" s="28">
        <v>911</v>
      </c>
      <c r="B38" s="29">
        <f t="shared" si="0"/>
        <v>2567.1600000000003</v>
      </c>
      <c r="C38" s="29">
        <f t="shared" si="1"/>
        <v>2338682.7600000002</v>
      </c>
      <c r="D38" s="28">
        <f t="shared" si="2"/>
        <v>513432.00000000006</v>
      </c>
      <c r="E38" s="29">
        <f t="shared" si="3"/>
        <v>1825250.7600000002</v>
      </c>
    </row>
    <row r="39" spans="1:5" ht="12.75">
      <c r="A39" s="28">
        <v>912</v>
      </c>
      <c r="B39" s="29">
        <f t="shared" si="0"/>
        <v>2563.3400000000006</v>
      </c>
      <c r="C39" s="29">
        <f t="shared" si="1"/>
        <v>2337766.0800000005</v>
      </c>
      <c r="D39" s="28">
        <f t="shared" si="2"/>
        <v>512668.0000000001</v>
      </c>
      <c r="E39" s="29">
        <f t="shared" si="3"/>
        <v>1825098.0800000005</v>
      </c>
    </row>
    <row r="40" spans="1:5" ht="12.75">
      <c r="A40" s="28">
        <v>913</v>
      </c>
      <c r="B40" s="29">
        <f t="shared" si="0"/>
        <v>2559.5200000000004</v>
      </c>
      <c r="C40" s="29">
        <f t="shared" si="1"/>
        <v>2336841.7600000002</v>
      </c>
      <c r="D40" s="28">
        <f t="shared" si="2"/>
        <v>511904.0000000001</v>
      </c>
      <c r="E40" s="29">
        <f t="shared" si="3"/>
        <v>1824937.7600000002</v>
      </c>
    </row>
    <row r="41" spans="1:5" ht="12.75">
      <c r="A41" s="28">
        <v>914</v>
      </c>
      <c r="B41" s="29">
        <f t="shared" si="0"/>
        <v>2555.7000000000003</v>
      </c>
      <c r="C41" s="29">
        <f t="shared" si="1"/>
        <v>2335909.8000000003</v>
      </c>
      <c r="D41" s="28">
        <f t="shared" si="2"/>
        <v>511140.00000000006</v>
      </c>
      <c r="E41" s="29">
        <f t="shared" si="3"/>
        <v>1824769.8000000003</v>
      </c>
    </row>
    <row r="42" spans="1:5" ht="12.75">
      <c r="A42" s="28">
        <v>915</v>
      </c>
      <c r="B42" s="29">
        <f t="shared" si="0"/>
        <v>2551.8800000000006</v>
      </c>
      <c r="C42" s="29">
        <f t="shared" si="1"/>
        <v>2334970.2000000007</v>
      </c>
      <c r="D42" s="28">
        <f t="shared" si="2"/>
        <v>510376.0000000001</v>
      </c>
      <c r="E42" s="29">
        <f t="shared" si="3"/>
        <v>1824594.2000000007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B2" sqref="B2:C2"/>
    </sheetView>
  </sheetViews>
  <sheetFormatPr defaultColWidth="9.140625" defaultRowHeight="12.75"/>
  <sheetData>
    <row r="1" spans="1:17" ht="12.75">
      <c r="A1" s="7" t="s">
        <v>3</v>
      </c>
      <c r="B1" s="7" t="s">
        <v>43</v>
      </c>
      <c r="C1" s="7" t="s">
        <v>45</v>
      </c>
      <c r="D1" s="32" t="s">
        <v>47</v>
      </c>
      <c r="E1" s="32" t="s">
        <v>46</v>
      </c>
      <c r="F1" s="32" t="s">
        <v>48</v>
      </c>
      <c r="G1" s="7" t="s">
        <v>49</v>
      </c>
      <c r="H1" s="7" t="s">
        <v>49</v>
      </c>
      <c r="K1" s="7"/>
      <c r="L1" s="7"/>
      <c r="M1" s="7"/>
      <c r="N1" s="32"/>
      <c r="O1" s="32"/>
      <c r="P1" s="32"/>
      <c r="Q1" s="7"/>
    </row>
    <row r="2" spans="1:16" ht="12.75">
      <c r="A2">
        <v>1050</v>
      </c>
      <c r="B2">
        <f>6047.18-3.82*A2</f>
        <v>2036.1800000000003</v>
      </c>
      <c r="C2">
        <f>A2*B2-200*B2</f>
        <v>1730753.0000000005</v>
      </c>
      <c r="D2" s="32"/>
      <c r="E2" s="32"/>
      <c r="F2" s="32"/>
      <c r="G2" s="33" t="s">
        <v>50</v>
      </c>
      <c r="H2" s="33" t="s">
        <v>51</v>
      </c>
      <c r="N2" s="32"/>
      <c r="O2" s="32"/>
      <c r="P2" s="32"/>
    </row>
    <row r="3" spans="1:8" ht="12.75">
      <c r="A3">
        <v>1049</v>
      </c>
      <c r="B3">
        <f>6047.18-3.82*A3</f>
        <v>2040.0000000000005</v>
      </c>
      <c r="C3">
        <f aca="true" t="shared" si="0" ref="C3:C45">A3*B3-200*B3</f>
        <v>1731960.0000000005</v>
      </c>
      <c r="D3">
        <f>B3-B2</f>
        <v>3.8200000000001637</v>
      </c>
      <c r="E3">
        <f>C3-C2</f>
        <v>1207</v>
      </c>
      <c r="F3">
        <f>E3/D3</f>
        <v>315.968586387421</v>
      </c>
      <c r="G3">
        <f>F3*(1.02)^(-2)*(1-(1/1.02)^4)/(1-1/1.02)</f>
        <v>1179.532013987185</v>
      </c>
      <c r="H3">
        <f>F3/(1.02*1.05)*(1+1/1.05+1/(1.02*1.05)+1/(1.05*1.02^2))</f>
        <v>1121.5222685438046</v>
      </c>
    </row>
    <row r="4" spans="1:8" ht="12.75">
      <c r="A4">
        <v>1048</v>
      </c>
      <c r="B4">
        <f>6047.18-3.82*A4</f>
        <v>2043.8200000000006</v>
      </c>
      <c r="C4">
        <f t="shared" si="0"/>
        <v>1733159.3600000008</v>
      </c>
      <c r="D4">
        <f>B4-B3</f>
        <v>3.8200000000001637</v>
      </c>
      <c r="E4">
        <f>C4-C3</f>
        <v>1199.3600000003353</v>
      </c>
      <c r="F4">
        <f aca="true" t="shared" si="1" ref="F4:F45">E4/D4</f>
        <v>313.9685863875089</v>
      </c>
      <c r="G4">
        <f>F4*(1.02)^(-2)*(1-(1/1.02)^4)/(1-1/1.02)</f>
        <v>1172.0658792842303</v>
      </c>
      <c r="H4">
        <f aca="true" t="shared" si="2" ref="H4:H44">F4/(1.02*1.05)*(1+1/1.05+1/(1.02*1.05)+1/(1.05*1.02^2))</f>
        <v>1114.42332063055</v>
      </c>
    </row>
    <row r="5" spans="1:8" ht="12.75">
      <c r="A5">
        <v>1047</v>
      </c>
      <c r="B5">
        <f>6047.18-3.82*A5</f>
        <v>2047.6400000000003</v>
      </c>
      <c r="C5">
        <f t="shared" si="0"/>
        <v>1734351.0800000005</v>
      </c>
      <c r="D5">
        <f>B5-B4</f>
        <v>3.819999999999709</v>
      </c>
      <c r="E5">
        <f>C5-C4</f>
        <v>1191.7199999997392</v>
      </c>
      <c r="F5">
        <f t="shared" si="1"/>
        <v>311.9685863873901</v>
      </c>
      <c r="G5">
        <f>F5*(1.02)^(-2)*(1-(1/1.02)^4)/(1-1/1.02)</f>
        <v>1164.5997445805037</v>
      </c>
      <c r="H5">
        <f t="shared" si="2"/>
        <v>1107.3243727165614</v>
      </c>
    </row>
    <row r="6" spans="1:8" ht="12.75">
      <c r="A6">
        <v>1046</v>
      </c>
      <c r="B6">
        <f>6047.18-3.82*A6</f>
        <v>2051.4600000000005</v>
      </c>
      <c r="C6">
        <f t="shared" si="0"/>
        <v>1735535.1600000006</v>
      </c>
      <c r="D6">
        <f>B6-B5</f>
        <v>3.8200000000001637</v>
      </c>
      <c r="E6">
        <f>C6-C5</f>
        <v>1184.0800000000745</v>
      </c>
      <c r="F6">
        <f t="shared" si="1"/>
        <v>309.9685863874408</v>
      </c>
      <c r="G6">
        <f>F6*(1.02)^(-2)*(1-(1/1.02)^4)/(1-1/1.02)</f>
        <v>1157.13360987741</v>
      </c>
      <c r="H6">
        <f t="shared" si="2"/>
        <v>1100.2254248031747</v>
      </c>
    </row>
    <row r="7" spans="1:8" ht="12.75">
      <c r="A7">
        <v>1045</v>
      </c>
      <c r="B7">
        <f>6047.18-3.82*A7</f>
        <v>2055.2800000000007</v>
      </c>
      <c r="C7">
        <f t="shared" si="0"/>
        <v>1736711.6000000006</v>
      </c>
      <c r="D7">
        <f>B7-B6</f>
        <v>3.8200000000001637</v>
      </c>
      <c r="E7">
        <f>C7-C6</f>
        <v>1176.4399999999441</v>
      </c>
      <c r="F7">
        <f t="shared" si="1"/>
        <v>307.96858638740673</v>
      </c>
      <c r="G7">
        <f>F7*(1.02)^(-2)*(1-(1/1.02)^4)/(1-1/1.02)</f>
        <v>1149.6674751740002</v>
      </c>
      <c r="H7">
        <f t="shared" si="2"/>
        <v>1093.1264768894873</v>
      </c>
    </row>
    <row r="8" spans="1:8" ht="12.75">
      <c r="A8">
        <v>1044</v>
      </c>
      <c r="B8">
        <f>6047.18-3.82*A8</f>
        <v>2059.1000000000004</v>
      </c>
      <c r="C8">
        <f t="shared" si="0"/>
        <v>1737880.4000000004</v>
      </c>
      <c r="D8">
        <f>B8-B7</f>
        <v>3.819999999999709</v>
      </c>
      <c r="E8">
        <f>C8-C7</f>
        <v>1168.7999999998137</v>
      </c>
      <c r="F8">
        <f t="shared" si="1"/>
        <v>305.9685863874091</v>
      </c>
      <c r="G8">
        <f>F8*(1.02)^(-2)*(1-(1/1.02)^4)/(1-1/1.02)</f>
        <v>1142.201340470726</v>
      </c>
      <c r="H8">
        <f t="shared" si="2"/>
        <v>1086.027528975929</v>
      </c>
    </row>
    <row r="9" spans="1:8" ht="12.75">
      <c r="A9">
        <v>1043</v>
      </c>
      <c r="B9">
        <f>6047.18-3.82*A9</f>
        <v>2062.9200000000005</v>
      </c>
      <c r="C9">
        <f t="shared" si="0"/>
        <v>1739041.5600000005</v>
      </c>
      <c r="D9">
        <f>B9-B8</f>
        <v>3.8200000000001637</v>
      </c>
      <c r="E9">
        <f>C9-C8</f>
        <v>1161.160000000149</v>
      </c>
      <c r="F9">
        <f t="shared" si="1"/>
        <v>303.96858638746056</v>
      </c>
      <c r="G9">
        <f>F9*(1.02)^(-2)*(1-(1/1.02)^4)/(1-1/1.02)</f>
        <v>1134.7352057676353</v>
      </c>
      <c r="H9">
        <f t="shared" si="2"/>
        <v>1078.928581062545</v>
      </c>
    </row>
    <row r="10" spans="1:8" ht="12.75">
      <c r="A10" s="26">
        <v>1042</v>
      </c>
      <c r="B10" s="26">
        <f>6047.18-3.82*A10</f>
        <v>2066.7400000000002</v>
      </c>
      <c r="C10" s="26">
        <f t="shared" si="0"/>
        <v>1740195.08</v>
      </c>
      <c r="D10" s="26">
        <f>B10-B9</f>
        <v>3.819999999999709</v>
      </c>
      <c r="E10" s="26">
        <f>C10-C9</f>
        <v>1153.519999999553</v>
      </c>
      <c r="F10" s="26">
        <f t="shared" si="1"/>
        <v>301.9685863873405</v>
      </c>
      <c r="G10" s="26">
        <f>F10*(1.02)^(-2)*(1-(1/1.02)^4)/(1-1/1.02)</f>
        <v>1127.2690710639042</v>
      </c>
      <c r="H10" s="26">
        <f t="shared" si="2"/>
        <v>1071.829633148552</v>
      </c>
    </row>
    <row r="11" spans="1:8" ht="12.75">
      <c r="A11">
        <v>1041</v>
      </c>
      <c r="B11">
        <f>6047.18-3.82*A11</f>
        <v>2070.5600000000004</v>
      </c>
      <c r="C11">
        <f t="shared" si="0"/>
        <v>1741340.9600000004</v>
      </c>
      <c r="D11">
        <f>B11-B10</f>
        <v>3.8200000000001637</v>
      </c>
      <c r="E11">
        <f>C11-C10</f>
        <v>1145.880000000354</v>
      </c>
      <c r="F11">
        <f t="shared" si="1"/>
        <v>299.96858638751434</v>
      </c>
      <c r="G11">
        <f>F11*(1.02)^(-2)*(1-(1/1.02)^4)/(1-1/1.02)</f>
        <v>1119.8029363612702</v>
      </c>
      <c r="H11">
        <f t="shared" si="2"/>
        <v>1064.7306852356023</v>
      </c>
    </row>
    <row r="12" spans="1:8" ht="12.75">
      <c r="A12">
        <v>1040</v>
      </c>
      <c r="B12">
        <f>6047.18-3.82*A12</f>
        <v>2074.3800000000006</v>
      </c>
      <c r="C12">
        <f t="shared" si="0"/>
        <v>1742479.2000000007</v>
      </c>
      <c r="D12">
        <f>B12-B11</f>
        <v>3.8200000000001637</v>
      </c>
      <c r="E12">
        <f>C12-C11</f>
        <v>1138.2400000002235</v>
      </c>
      <c r="F12">
        <f t="shared" si="1"/>
        <v>297.9685863874803</v>
      </c>
      <c r="G12">
        <f>F12*(1.02)^(-2)*(1-(1/1.02)^4)/(1-1/1.02)</f>
        <v>1112.33680165786</v>
      </c>
      <c r="H12">
        <f t="shared" si="2"/>
        <v>1057.6317373219147</v>
      </c>
    </row>
    <row r="13" spans="1:8" ht="12.75">
      <c r="A13">
        <v>1039</v>
      </c>
      <c r="B13">
        <f>6047.18-3.82*A13</f>
        <v>2078.2000000000003</v>
      </c>
      <c r="C13">
        <f t="shared" si="0"/>
        <v>1743609.8000000003</v>
      </c>
      <c r="D13">
        <f>B13-B12</f>
        <v>3.819999999999709</v>
      </c>
      <c r="E13">
        <f>C13-C12</f>
        <v>1130.5999999996275</v>
      </c>
      <c r="F13">
        <f t="shared" si="1"/>
        <v>295.9685863873596</v>
      </c>
      <c r="G13">
        <f>F13*(1.02)^(-2)*(1-(1/1.02)^4)/(1-1/1.02)</f>
        <v>1104.8706669541266</v>
      </c>
      <c r="H13">
        <f t="shared" si="2"/>
        <v>1050.5327894079196</v>
      </c>
    </row>
    <row r="14" spans="1:8" ht="12.75">
      <c r="A14">
        <v>1038</v>
      </c>
      <c r="B14">
        <f>6047.18-3.82*A14</f>
        <v>2082.0200000000004</v>
      </c>
      <c r="C14">
        <f t="shared" si="0"/>
        <v>1744732.7600000002</v>
      </c>
      <c r="D14">
        <f>B14-B13</f>
        <v>3.8200000000001637</v>
      </c>
      <c r="E14">
        <f>C14-C13</f>
        <v>1122.9599999999627</v>
      </c>
      <c r="F14">
        <f t="shared" si="1"/>
        <v>293.9685863874122</v>
      </c>
      <c r="G14">
        <f>F14*(1.02)^(-2)*(1-(1/1.02)^4)/(1-1/1.02)</f>
        <v>1097.40453225104</v>
      </c>
      <c r="H14">
        <f t="shared" si="2"/>
        <v>1043.4338414945394</v>
      </c>
    </row>
    <row r="15" spans="1:8" ht="12.75">
      <c r="A15">
        <v>1037</v>
      </c>
      <c r="B15">
        <f>6047.18-3.82*A15</f>
        <v>2085.8400000000006</v>
      </c>
      <c r="C15">
        <f t="shared" si="0"/>
        <v>1745848.0800000005</v>
      </c>
      <c r="D15">
        <f>B15-B14</f>
        <v>3.8200000000001637</v>
      </c>
      <c r="E15">
        <f>C15-C14</f>
        <v>1115.320000000298</v>
      </c>
      <c r="F15">
        <f t="shared" si="1"/>
        <v>291.96858638750007</v>
      </c>
      <c r="G15">
        <f>F15*(1.02)^(-2)*(1-(1/1.02)^4)/(1-1/1.02)</f>
        <v>1089.938397548085</v>
      </c>
      <c r="H15">
        <f t="shared" si="2"/>
        <v>1036.3348935812846</v>
      </c>
    </row>
    <row r="16" spans="1:8" ht="12.75">
      <c r="A16">
        <v>1036</v>
      </c>
      <c r="B16">
        <f>6047.18-3.82*A16</f>
        <v>2089.6600000000003</v>
      </c>
      <c r="C16">
        <f t="shared" si="0"/>
        <v>1746955.7600000002</v>
      </c>
      <c r="D16">
        <f>B16-B15</f>
        <v>3.819999999999709</v>
      </c>
      <c r="E16">
        <f>C16-C15</f>
        <v>1107.679999999702</v>
      </c>
      <c r="F16">
        <f t="shared" si="1"/>
        <v>289.96858638737865</v>
      </c>
      <c r="G16">
        <f>F16*(1.02)^(-2)*(1-(1/1.02)^4)/(1-1/1.02)</f>
        <v>1082.472262844349</v>
      </c>
      <c r="H16">
        <f t="shared" si="2"/>
        <v>1029.2359456672868</v>
      </c>
    </row>
    <row r="17" spans="1:8" ht="12.75">
      <c r="A17">
        <v>1035</v>
      </c>
      <c r="B17">
        <f>6047.18-3.82*A17</f>
        <v>2093.4800000000005</v>
      </c>
      <c r="C17">
        <f t="shared" si="0"/>
        <v>1748055.8000000003</v>
      </c>
      <c r="D17">
        <f>B17-B16</f>
        <v>3.8200000000001637</v>
      </c>
      <c r="E17">
        <f>C17-C16</f>
        <v>1100.0400000000373</v>
      </c>
      <c r="F17">
        <f t="shared" si="1"/>
        <v>287.96858638743197</v>
      </c>
      <c r="G17">
        <f>F17*(1.02)^(-2)*(1-(1/1.02)^4)/(1-1/1.02)</f>
        <v>1075.006128141265</v>
      </c>
      <c r="H17">
        <f t="shared" si="2"/>
        <v>1022.1369977539094</v>
      </c>
    </row>
    <row r="18" spans="1:8" ht="12.75">
      <c r="A18">
        <v>1034</v>
      </c>
      <c r="B18">
        <f>6047.18-3.82*A18</f>
        <v>2097.3000000000006</v>
      </c>
      <c r="C18">
        <f t="shared" si="0"/>
        <v>1749148.2000000007</v>
      </c>
      <c r="D18">
        <f>B18-B17</f>
        <v>3.8200000000001637</v>
      </c>
      <c r="E18">
        <f>C18-C17</f>
        <v>1092.4000000003725</v>
      </c>
      <c r="F18">
        <f t="shared" si="1"/>
        <v>285.9685863875198</v>
      </c>
      <c r="G18">
        <f>F18*(1.02)^(-2)*(1-(1/1.02)^4)/(1-1/1.02)</f>
        <v>1067.5399934383101</v>
      </c>
      <c r="H18">
        <f t="shared" si="2"/>
        <v>1015.0380498406546</v>
      </c>
    </row>
    <row r="19" spans="1:8" ht="12.75">
      <c r="A19">
        <v>1033</v>
      </c>
      <c r="B19">
        <f>6047.18-3.82*A19</f>
        <v>2101.1200000000003</v>
      </c>
      <c r="C19">
        <f t="shared" si="0"/>
        <v>1750232.9600000004</v>
      </c>
      <c r="D19">
        <f>B19-B18</f>
        <v>3.819999999999709</v>
      </c>
      <c r="E19">
        <f>C19-C18</f>
        <v>1084.7599999997765</v>
      </c>
      <c r="F19">
        <f t="shared" si="1"/>
        <v>283.9685863873977</v>
      </c>
      <c r="G19">
        <f>F19*(1.02)^(-2)*(1-(1/1.02)^4)/(1-1/1.02)</f>
        <v>1060.0738587345716</v>
      </c>
      <c r="H19">
        <f t="shared" si="2"/>
        <v>1007.9391019266544</v>
      </c>
    </row>
    <row r="20" spans="1:8" ht="12.75">
      <c r="A20" s="26">
        <v>1032</v>
      </c>
      <c r="B20" s="26">
        <f>6047.18-3.82*A20</f>
        <v>2104.9400000000005</v>
      </c>
      <c r="C20" s="26">
        <f t="shared" si="0"/>
        <v>1751310.0800000005</v>
      </c>
      <c r="D20" s="26">
        <f>B20-B19</f>
        <v>3.8200000000001637</v>
      </c>
      <c r="E20" s="26">
        <f>C20-C19</f>
        <v>1077.1200000001118</v>
      </c>
      <c r="F20" s="26">
        <f t="shared" si="1"/>
        <v>281.96858638745175</v>
      </c>
      <c r="G20" s="26">
        <f>F20*(1.02)^(-2)*(1-(1/1.02)^4)/(1-1/1.02)</f>
        <v>1052.6077240314903</v>
      </c>
      <c r="H20">
        <f t="shared" si="2"/>
        <v>1000.8401540132796</v>
      </c>
    </row>
    <row r="21" spans="1:8" ht="12.75">
      <c r="A21">
        <v>1031</v>
      </c>
      <c r="B21">
        <f>6047.18-3.82*A21</f>
        <v>2108.7600000000007</v>
      </c>
      <c r="C21">
        <f t="shared" si="0"/>
        <v>1752379.5600000005</v>
      </c>
      <c r="D21">
        <f>B21-B20</f>
        <v>3.8200000000001637</v>
      </c>
      <c r="E21">
        <f>C21-C20</f>
        <v>1069.4799999999814</v>
      </c>
      <c r="F21">
        <f t="shared" si="1"/>
        <v>279.9685863874177</v>
      </c>
      <c r="G21">
        <f>F21*(1.02)^(-2)*(1-(1/1.02)^4)/(1-1/1.02)</f>
        <v>1045.1415893280803</v>
      </c>
      <c r="H21">
        <f t="shared" si="2"/>
        <v>993.7412060995919</v>
      </c>
    </row>
    <row r="22" spans="1:8" ht="12.75">
      <c r="A22">
        <v>1030</v>
      </c>
      <c r="B22">
        <f>6047.18-3.82*A22</f>
        <v>2112.5800000000004</v>
      </c>
      <c r="C22">
        <f t="shared" si="0"/>
        <v>1753441.4000000004</v>
      </c>
      <c r="D22">
        <f>B22-B21</f>
        <v>3.819999999999709</v>
      </c>
      <c r="E22">
        <f>C22-C21</f>
        <v>1061.839999999851</v>
      </c>
      <c r="F22">
        <f t="shared" si="1"/>
        <v>277.96858638741674</v>
      </c>
      <c r="G22">
        <f>F22*(1.02)^(-2)*(1-(1/1.02)^4)/(1-1/1.02)</f>
        <v>1037.6754546247937</v>
      </c>
      <c r="H22">
        <f t="shared" si="2"/>
        <v>986.6422581860218</v>
      </c>
    </row>
    <row r="23" spans="1:8" ht="12.75">
      <c r="A23">
        <v>1029</v>
      </c>
      <c r="B23">
        <f>6047.18-3.82*A23</f>
        <v>2116.4000000000005</v>
      </c>
      <c r="C23">
        <f t="shared" si="0"/>
        <v>1754495.6000000006</v>
      </c>
      <c r="D23">
        <f>B23-B22</f>
        <v>3.8200000000001637</v>
      </c>
      <c r="E23">
        <f>C23-C22</f>
        <v>1054.2000000001863</v>
      </c>
      <c r="F23">
        <f t="shared" si="1"/>
        <v>275.9685863874715</v>
      </c>
      <c r="G23">
        <f>F23*(1.02)^(-2)*(1-(1/1.02)^4)/(1-1/1.02)</f>
        <v>1030.209319921715</v>
      </c>
      <c r="H23">
        <f t="shared" si="2"/>
        <v>979.5433102726494</v>
      </c>
    </row>
    <row r="24" spans="1:8" ht="12.75">
      <c r="A24">
        <v>1028</v>
      </c>
      <c r="B24">
        <f>6047.18-3.82*A24</f>
        <v>2120.2200000000003</v>
      </c>
      <c r="C24">
        <f t="shared" si="0"/>
        <v>1755542.1600000001</v>
      </c>
      <c r="D24">
        <f>B24-B23</f>
        <v>3.819999999999709</v>
      </c>
      <c r="E24">
        <f>C24-C23</f>
        <v>1046.5599999995902</v>
      </c>
      <c r="F24">
        <f t="shared" si="1"/>
        <v>273.9685863873482</v>
      </c>
      <c r="G24">
        <f>F24*(1.02)^(-2)*(1-(1/1.02)^4)/(1-1/1.02)</f>
        <v>1022.7431852179719</v>
      </c>
      <c r="H24">
        <f t="shared" si="2"/>
        <v>972.4443623586451</v>
      </c>
    </row>
    <row r="25" spans="1:8" ht="12.75">
      <c r="A25">
        <v>1027</v>
      </c>
      <c r="B25">
        <f>6047.18-3.82*A25</f>
        <v>2124.0400000000004</v>
      </c>
      <c r="C25">
        <f t="shared" si="0"/>
        <v>1756581.0800000005</v>
      </c>
      <c r="D25">
        <f>B25-B24</f>
        <v>3.8200000000001637</v>
      </c>
      <c r="E25">
        <f>C25-C24</f>
        <v>1038.9200000003912</v>
      </c>
      <c r="F25">
        <f t="shared" si="1"/>
        <v>271.9685863875253</v>
      </c>
      <c r="G25">
        <f>F25*(1.02)^(-2)*(1-(1/1.02)^4)/(1-1/1.02)</f>
        <v>1015.2770505153503</v>
      </c>
      <c r="H25">
        <f t="shared" si="2"/>
        <v>965.3454144457071</v>
      </c>
    </row>
    <row r="26" spans="1:8" ht="12.75">
      <c r="A26">
        <v>1026</v>
      </c>
      <c r="B26">
        <f>6047.18-3.82*A26</f>
        <v>2127.8600000000006</v>
      </c>
      <c r="C26">
        <f t="shared" si="0"/>
        <v>1757612.3600000008</v>
      </c>
      <c r="D26">
        <f>B26-B25</f>
        <v>3.8200000000001637</v>
      </c>
      <c r="E26">
        <f>C26-C25</f>
        <v>1031.2800000002608</v>
      </c>
      <c r="F26">
        <f t="shared" si="1"/>
        <v>269.96858638749126</v>
      </c>
      <c r="G26">
        <f>F26*(1.02)^(-2)*(1-(1/1.02)^4)/(1-1/1.02)</f>
        <v>1007.8109158119404</v>
      </c>
      <c r="H26">
        <f t="shared" si="2"/>
        <v>958.2464665320194</v>
      </c>
    </row>
  </sheetData>
  <mergeCells count="6">
    <mergeCell ref="N1:N2"/>
    <mergeCell ref="O1:O2"/>
    <mergeCell ref="P1:P2"/>
    <mergeCell ref="D1:D2"/>
    <mergeCell ref="E1:E2"/>
    <mergeCell ref="F1:F2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I42" sqref="I42"/>
    </sheetView>
  </sheetViews>
  <sheetFormatPr defaultColWidth="9.140625" defaultRowHeight="12.75"/>
  <cols>
    <col min="1" max="1" width="16.7109375" style="0" customWidth="1"/>
    <col min="3" max="3" width="9.00390625" style="0" customWidth="1"/>
    <col min="9" max="9" width="11.28125" style="0" bestFit="1" customWidth="1"/>
  </cols>
  <sheetData>
    <row r="1" spans="1:9" ht="12.75">
      <c r="A1" s="36" t="s">
        <v>38</v>
      </c>
      <c r="B1" s="37"/>
      <c r="C1" s="37"/>
      <c r="D1" s="37"/>
      <c r="E1" s="37"/>
      <c r="F1" s="37"/>
      <c r="G1" s="37"/>
      <c r="H1" s="37"/>
      <c r="I1" s="38"/>
    </row>
    <row r="2" spans="1:9" ht="12.75">
      <c r="A2" s="12"/>
      <c r="B2" s="13"/>
      <c r="C2" s="13"/>
      <c r="D2" s="13"/>
      <c r="E2" s="13"/>
      <c r="F2" s="13"/>
      <c r="G2" s="13"/>
      <c r="H2" s="13"/>
      <c r="I2" s="14"/>
    </row>
    <row r="3" spans="1:9" ht="12.75">
      <c r="A3" s="12"/>
      <c r="B3" s="13" t="s">
        <v>57</v>
      </c>
      <c r="C3" s="13" t="s">
        <v>58</v>
      </c>
      <c r="D3" s="13" t="s">
        <v>59</v>
      </c>
      <c r="E3" s="13" t="s">
        <v>60</v>
      </c>
      <c r="F3" s="13" t="s">
        <v>61</v>
      </c>
      <c r="G3" s="13" t="s">
        <v>62</v>
      </c>
      <c r="H3" s="13" t="s">
        <v>63</v>
      </c>
      <c r="I3" s="14" t="s">
        <v>64</v>
      </c>
    </row>
    <row r="4" spans="1:9" ht="12.75">
      <c r="A4" s="12" t="s">
        <v>52</v>
      </c>
      <c r="B4" s="13">
        <v>1000000</v>
      </c>
      <c r="C4" s="13">
        <f>B9</f>
        <v>78840</v>
      </c>
      <c r="D4" s="13">
        <f aca="true" t="shared" si="0" ref="D4:I4">C9</f>
        <v>633954.8</v>
      </c>
      <c r="E4" s="13">
        <f t="shared" si="0"/>
        <v>1200171.896</v>
      </c>
      <c r="F4" s="13">
        <f t="shared" si="0"/>
        <v>1777713.33392</v>
      </c>
      <c r="G4" s="13">
        <f t="shared" si="0"/>
        <v>1482645.6005984</v>
      </c>
      <c r="H4" s="13">
        <f t="shared" si="0"/>
        <v>2062246.512610368</v>
      </c>
      <c r="I4" s="14">
        <f t="shared" si="0"/>
        <v>2653439.4428625754</v>
      </c>
    </row>
    <row r="5" spans="1:9" ht="12.75">
      <c r="A5" s="12" t="s">
        <v>53</v>
      </c>
      <c r="B5" s="13">
        <v>33000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4">
        <v>0</v>
      </c>
    </row>
    <row r="6" spans="1:9" ht="12.75">
      <c r="A6" s="12" t="s">
        <v>54</v>
      </c>
      <c r="B6" s="13">
        <f>2838*320</f>
        <v>908160</v>
      </c>
      <c r="C6" s="13">
        <v>0</v>
      </c>
      <c r="D6" s="13">
        <v>0</v>
      </c>
      <c r="E6" s="13">
        <v>0</v>
      </c>
      <c r="F6" s="13">
        <f>2763*320</f>
        <v>884160</v>
      </c>
      <c r="G6" s="13">
        <v>0</v>
      </c>
      <c r="H6" s="13">
        <v>0</v>
      </c>
      <c r="I6" s="14">
        <v>0</v>
      </c>
    </row>
    <row r="7" spans="1:9" ht="12.75">
      <c r="A7" s="12" t="s">
        <v>45</v>
      </c>
      <c r="B7" s="13">
        <v>0</v>
      </c>
      <c r="C7" s="13">
        <v>553538</v>
      </c>
      <c r="D7" s="13">
        <v>553538</v>
      </c>
      <c r="E7" s="13">
        <v>553538</v>
      </c>
      <c r="F7" s="13">
        <v>553538</v>
      </c>
      <c r="G7" s="54">
        <v>549948</v>
      </c>
      <c r="H7" s="54">
        <v>549948</v>
      </c>
      <c r="I7" s="14">
        <v>549948</v>
      </c>
    </row>
    <row r="8" spans="1:9" ht="12.75">
      <c r="A8" s="12" t="s">
        <v>55</v>
      </c>
      <c r="B8" s="13">
        <f>B4*0.02</f>
        <v>20000</v>
      </c>
      <c r="C8" s="13">
        <f aca="true" t="shared" si="1" ref="C8:I8">C4*0.02</f>
        <v>1576.8</v>
      </c>
      <c r="D8" s="13">
        <f t="shared" si="1"/>
        <v>12679.096000000001</v>
      </c>
      <c r="E8" s="13">
        <f t="shared" si="1"/>
        <v>24003.43792</v>
      </c>
      <c r="F8" s="13">
        <f t="shared" si="1"/>
        <v>35554.266678399996</v>
      </c>
      <c r="G8" s="13">
        <f t="shared" si="1"/>
        <v>29652.912011968</v>
      </c>
      <c r="H8" s="13">
        <f t="shared" si="1"/>
        <v>41244.93025220736</v>
      </c>
      <c r="I8" s="14">
        <f t="shared" si="1"/>
        <v>53068.78885725151</v>
      </c>
    </row>
    <row r="9" spans="1:9" ht="13.5" thickBot="1">
      <c r="A9" s="22" t="s">
        <v>56</v>
      </c>
      <c r="B9" s="23">
        <f>B4-B5-B6+B7+B8</f>
        <v>78840</v>
      </c>
      <c r="C9" s="23">
        <f aca="true" t="shared" si="2" ref="C9:I9">C4-C5-C6+C7+C8</f>
        <v>633954.8</v>
      </c>
      <c r="D9" s="23">
        <f t="shared" si="2"/>
        <v>1200171.896</v>
      </c>
      <c r="E9" s="23">
        <f t="shared" si="2"/>
        <v>1777713.33392</v>
      </c>
      <c r="F9" s="23">
        <f t="shared" si="2"/>
        <v>1482645.6005984</v>
      </c>
      <c r="G9" s="23">
        <f t="shared" si="2"/>
        <v>2062246.512610368</v>
      </c>
      <c r="H9" s="23">
        <f t="shared" si="2"/>
        <v>2653439.4428625754</v>
      </c>
      <c r="I9" s="55">
        <f t="shared" si="2"/>
        <v>3256456.231719827</v>
      </c>
    </row>
    <row r="11" ht="13.5" thickBot="1"/>
    <row r="12" spans="1:9" ht="12.75">
      <c r="A12" s="36" t="s">
        <v>39</v>
      </c>
      <c r="B12" s="37"/>
      <c r="C12" s="37"/>
      <c r="D12" s="37"/>
      <c r="E12" s="37"/>
      <c r="F12" s="37"/>
      <c r="G12" s="37"/>
      <c r="H12" s="37"/>
      <c r="I12" s="38"/>
    </row>
    <row r="13" spans="1:9" ht="12.75">
      <c r="A13" s="12"/>
      <c r="B13" s="13"/>
      <c r="C13" s="13"/>
      <c r="D13" s="13"/>
      <c r="E13" s="13"/>
      <c r="F13" s="13"/>
      <c r="G13" s="13"/>
      <c r="H13" s="13"/>
      <c r="I13" s="14"/>
    </row>
    <row r="14" spans="1:9" ht="12.75">
      <c r="A14" s="12"/>
      <c r="B14" s="13" t="s">
        <v>57</v>
      </c>
      <c r="C14" s="13" t="s">
        <v>58</v>
      </c>
      <c r="D14" s="13" t="s">
        <v>59</v>
      </c>
      <c r="E14" s="13" t="s">
        <v>60</v>
      </c>
      <c r="F14" s="13" t="s">
        <v>61</v>
      </c>
      <c r="G14" s="13" t="s">
        <v>62</v>
      </c>
      <c r="H14" s="13" t="s">
        <v>63</v>
      </c>
      <c r="I14" s="14" t="s">
        <v>64</v>
      </c>
    </row>
    <row r="15" spans="1:9" ht="12.75">
      <c r="A15" s="12" t="s">
        <v>52</v>
      </c>
      <c r="B15" s="13">
        <v>1000000</v>
      </c>
      <c r="C15" s="13">
        <f>B20</f>
        <v>928700</v>
      </c>
      <c r="D15" s="13">
        <f aca="true" t="shared" si="3" ref="D15:I15">C20</f>
        <v>1489642</v>
      </c>
      <c r="E15" s="13">
        <f t="shared" si="3"/>
        <v>2061802.84</v>
      </c>
      <c r="F15" s="13">
        <f t="shared" si="3"/>
        <v>2645406.8967999998</v>
      </c>
      <c r="G15" s="13">
        <f t="shared" si="3"/>
        <v>3182383.0347359995</v>
      </c>
      <c r="H15" s="13">
        <f t="shared" si="3"/>
        <v>3788398.6954307193</v>
      </c>
      <c r="I15" s="14">
        <f t="shared" si="3"/>
        <v>4406534.669339334</v>
      </c>
    </row>
    <row r="16" spans="1:9" ht="12.75">
      <c r="A16" s="12" t="s">
        <v>53</v>
      </c>
      <c r="B16" s="13">
        <v>33000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0</v>
      </c>
    </row>
    <row r="17" spans="1:9" ht="12.75">
      <c r="A17" s="12" t="s">
        <v>54</v>
      </c>
      <c r="B17" s="13">
        <f>2915*20</f>
        <v>58300</v>
      </c>
      <c r="C17" s="13">
        <v>0</v>
      </c>
      <c r="D17" s="13">
        <v>0</v>
      </c>
      <c r="E17" s="13">
        <v>0</v>
      </c>
      <c r="F17" s="13">
        <f>2915*20</f>
        <v>58300</v>
      </c>
      <c r="G17" s="13">
        <v>0</v>
      </c>
      <c r="H17" s="13">
        <v>0</v>
      </c>
      <c r="I17" s="14">
        <v>0</v>
      </c>
    </row>
    <row r="18" spans="1:9" ht="12.75">
      <c r="A18" s="12" t="s">
        <v>45</v>
      </c>
      <c r="B18" s="13">
        <v>0</v>
      </c>
      <c r="C18" s="13">
        <v>542368</v>
      </c>
      <c r="D18" s="13">
        <v>542368</v>
      </c>
      <c r="E18" s="13">
        <v>542368</v>
      </c>
      <c r="F18" s="13">
        <v>542368</v>
      </c>
      <c r="G18" s="13">
        <v>542368</v>
      </c>
      <c r="H18" s="13">
        <v>542368</v>
      </c>
      <c r="I18" s="14">
        <v>542368</v>
      </c>
    </row>
    <row r="19" spans="1:9" ht="12.75">
      <c r="A19" s="12" t="s">
        <v>55</v>
      </c>
      <c r="B19" s="13">
        <f>B15*0.02</f>
        <v>20000</v>
      </c>
      <c r="C19" s="13">
        <f aca="true" t="shared" si="4" ref="C19:I19">C15*0.02</f>
        <v>18574</v>
      </c>
      <c r="D19" s="13">
        <f t="shared" si="4"/>
        <v>29792.84</v>
      </c>
      <c r="E19" s="13">
        <f t="shared" si="4"/>
        <v>41236.056800000006</v>
      </c>
      <c r="F19" s="13">
        <f t="shared" si="4"/>
        <v>52908.137936</v>
      </c>
      <c r="G19" s="13">
        <f t="shared" si="4"/>
        <v>63647.66069471999</v>
      </c>
      <c r="H19" s="13">
        <f t="shared" si="4"/>
        <v>75767.97390861438</v>
      </c>
      <c r="I19" s="14">
        <f t="shared" si="4"/>
        <v>88130.69338678668</v>
      </c>
    </row>
    <row r="20" spans="1:9" ht="13.5" thickBot="1">
      <c r="A20" s="22" t="s">
        <v>56</v>
      </c>
      <c r="B20" s="23">
        <f>B15-B16-B17+B18+B19</f>
        <v>928700</v>
      </c>
      <c r="C20" s="23">
        <f>C15-C16-C17+C18+C19</f>
        <v>1489642</v>
      </c>
      <c r="D20" s="23">
        <f>D15-D16-D17+D18+D19</f>
        <v>2061802.84</v>
      </c>
      <c r="E20" s="23">
        <f>E15-E16-E17+E18+E19</f>
        <v>2645406.8967999998</v>
      </c>
      <c r="F20" s="23">
        <f>F15-F16-F17+F18+F19</f>
        <v>3182383.0347359995</v>
      </c>
      <c r="G20" s="23">
        <f>G15-G16-G17+G18+G19</f>
        <v>3788398.6954307193</v>
      </c>
      <c r="H20" s="23">
        <f>H15-H16-H17+H18+H19</f>
        <v>4406534.669339334</v>
      </c>
      <c r="I20" s="55">
        <f>I15-I16-I17+I18+I19</f>
        <v>5037033.36272612</v>
      </c>
    </row>
    <row r="22" ht="13.5" thickBot="1"/>
    <row r="23" spans="1:9" ht="12.75">
      <c r="A23" s="36" t="s">
        <v>40</v>
      </c>
      <c r="B23" s="37"/>
      <c r="C23" s="37"/>
      <c r="D23" s="37"/>
      <c r="E23" s="37"/>
      <c r="F23" s="37"/>
      <c r="G23" s="37"/>
      <c r="H23" s="37"/>
      <c r="I23" s="38"/>
    </row>
    <row r="24" spans="1:9" ht="12.75">
      <c r="A24" s="12"/>
      <c r="B24" s="13"/>
      <c r="C24" s="13"/>
      <c r="D24" s="13"/>
      <c r="E24" s="13"/>
      <c r="F24" s="13"/>
      <c r="G24" s="13"/>
      <c r="H24" s="13"/>
      <c r="I24" s="14"/>
    </row>
    <row r="25" spans="1:9" ht="12.75">
      <c r="A25" s="12"/>
      <c r="B25" s="13" t="s">
        <v>57</v>
      </c>
      <c r="C25" s="13" t="s">
        <v>58</v>
      </c>
      <c r="D25" s="13" t="s">
        <v>59</v>
      </c>
      <c r="E25" s="13" t="s">
        <v>60</v>
      </c>
      <c r="F25" s="13" t="s">
        <v>61</v>
      </c>
      <c r="G25" s="13" t="s">
        <v>62</v>
      </c>
      <c r="H25" s="13" t="s">
        <v>63</v>
      </c>
      <c r="I25" s="14" t="s">
        <v>64</v>
      </c>
    </row>
    <row r="26" spans="1:9" ht="12.75">
      <c r="A26" s="12" t="s">
        <v>52</v>
      </c>
      <c r="B26" s="13">
        <v>1000000</v>
      </c>
      <c r="C26" s="13">
        <f>B31</f>
        <v>-753200</v>
      </c>
      <c r="D26" s="13">
        <f aca="true" t="shared" si="5" ref="D26:I26">C31</f>
        <v>-227258</v>
      </c>
      <c r="E26" s="13">
        <f t="shared" si="5"/>
        <v>314917.1</v>
      </c>
      <c r="F26" s="13">
        <f t="shared" si="5"/>
        <v>874753.4419999999</v>
      </c>
      <c r="G26" s="13">
        <f t="shared" si="5"/>
        <v>-247013.48916000008</v>
      </c>
      <c r="H26" s="13">
        <f t="shared" si="5"/>
        <v>306851.2410567999</v>
      </c>
      <c r="I26" s="14">
        <f t="shared" si="5"/>
        <v>871793.2658779359</v>
      </c>
    </row>
    <row r="27" spans="1:9" ht="12.75">
      <c r="A27" s="12" t="s">
        <v>53</v>
      </c>
      <c r="B27" s="13">
        <v>46000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v>0</v>
      </c>
    </row>
    <row r="28" spans="1:9" ht="12.75">
      <c r="A28" s="12" t="s">
        <v>54</v>
      </c>
      <c r="B28" s="13">
        <f>2159*800</f>
        <v>1727200</v>
      </c>
      <c r="C28" s="13">
        <v>0</v>
      </c>
      <c r="D28" s="13">
        <v>0</v>
      </c>
      <c r="E28" s="13">
        <v>0</v>
      </c>
      <c r="F28" s="13">
        <f>2116*800</f>
        <v>1692800</v>
      </c>
      <c r="G28" s="54">
        <v>0</v>
      </c>
      <c r="H28" s="54">
        <v>0</v>
      </c>
      <c r="I28" s="14">
        <v>0</v>
      </c>
    </row>
    <row r="29" spans="1:9" ht="12.75">
      <c r="A29" s="12" t="s">
        <v>45</v>
      </c>
      <c r="B29" s="13">
        <v>0</v>
      </c>
      <c r="C29" s="13">
        <v>563602</v>
      </c>
      <c r="D29" s="13">
        <v>553538</v>
      </c>
      <c r="E29" s="13">
        <v>553538</v>
      </c>
      <c r="F29" s="13">
        <v>553538</v>
      </c>
      <c r="G29" s="54">
        <v>558805</v>
      </c>
      <c r="H29" s="54">
        <v>558805</v>
      </c>
      <c r="I29" s="14">
        <v>558805</v>
      </c>
    </row>
    <row r="30" spans="1:9" ht="12.75">
      <c r="A30" s="12" t="s">
        <v>55</v>
      </c>
      <c r="B30" s="13">
        <f>B26*0.02</f>
        <v>20000</v>
      </c>
      <c r="C30" s="13">
        <f>C26*0.05</f>
        <v>-37660</v>
      </c>
      <c r="D30" s="13">
        <f>D26*0.05</f>
        <v>-11362.900000000001</v>
      </c>
      <c r="E30" s="13">
        <f aca="true" t="shared" si="6" ref="C30:I30">E26*0.02</f>
        <v>6298.342</v>
      </c>
      <c r="F30" s="13">
        <f t="shared" si="6"/>
        <v>17495.06884</v>
      </c>
      <c r="G30" s="13">
        <f t="shared" si="6"/>
        <v>-4940.269783200002</v>
      </c>
      <c r="H30" s="13">
        <f t="shared" si="6"/>
        <v>6137.024821135998</v>
      </c>
      <c r="I30" s="14">
        <f t="shared" si="6"/>
        <v>17435.865317558717</v>
      </c>
    </row>
    <row r="31" spans="1:9" ht="13.5" thickBot="1">
      <c r="A31" s="22" t="s">
        <v>56</v>
      </c>
      <c r="B31" s="23">
        <f>B26-B27-B28+B29+B30</f>
        <v>-753200</v>
      </c>
      <c r="C31" s="23">
        <f>C26-C27-C28+C29+C30</f>
        <v>-227258</v>
      </c>
      <c r="D31" s="23">
        <f>D26-D27-D28+D29+D30</f>
        <v>314917.1</v>
      </c>
      <c r="E31" s="23">
        <f>E26-E27-E28+E29+E30</f>
        <v>874753.4419999999</v>
      </c>
      <c r="F31" s="23">
        <f>F26-F27-F28+F29+F30</f>
        <v>-247013.48916000008</v>
      </c>
      <c r="G31" s="23">
        <f>G26-G27-G28+G29+G30</f>
        <v>306851.2410567999</v>
      </c>
      <c r="H31" s="23">
        <f>H26-H27-H28+H29+H30</f>
        <v>871793.2658779359</v>
      </c>
      <c r="I31" s="55">
        <f>I26-I27-I28+I29+I30</f>
        <v>1448034.1311954947</v>
      </c>
    </row>
    <row r="33" ht="13.5" thickBot="1"/>
    <row r="34" spans="1:9" ht="12.75">
      <c r="A34" s="36" t="s">
        <v>41</v>
      </c>
      <c r="B34" s="37"/>
      <c r="C34" s="37"/>
      <c r="D34" s="37"/>
      <c r="E34" s="37"/>
      <c r="F34" s="37"/>
      <c r="G34" s="37"/>
      <c r="H34" s="37"/>
      <c r="I34" s="38"/>
    </row>
    <row r="35" spans="1:9" ht="12.75">
      <c r="A35" s="12"/>
      <c r="B35" s="13"/>
      <c r="C35" s="13"/>
      <c r="D35" s="13"/>
      <c r="E35" s="13"/>
      <c r="F35" s="13"/>
      <c r="G35" s="13"/>
      <c r="H35" s="13"/>
      <c r="I35" s="14"/>
    </row>
    <row r="36" spans="1:9" ht="12.75">
      <c r="A36" s="12"/>
      <c r="B36" s="13" t="s">
        <v>57</v>
      </c>
      <c r="C36" s="13" t="s">
        <v>58</v>
      </c>
      <c r="D36" s="13" t="s">
        <v>59</v>
      </c>
      <c r="E36" s="13" t="s">
        <v>60</v>
      </c>
      <c r="F36" s="13" t="s">
        <v>61</v>
      </c>
      <c r="G36" s="13" t="s">
        <v>62</v>
      </c>
      <c r="H36" s="13" t="s">
        <v>63</v>
      </c>
      <c r="I36" s="14" t="s">
        <v>64</v>
      </c>
    </row>
    <row r="37" spans="1:9" ht="12.75">
      <c r="A37" s="12" t="s">
        <v>52</v>
      </c>
      <c r="B37" s="13">
        <v>1000000</v>
      </c>
      <c r="C37" s="13">
        <f>B42</f>
        <v>-2451600</v>
      </c>
      <c r="D37" s="13">
        <f aca="true" t="shared" si="7" ref="D37:I37">C42</f>
        <v>-822870</v>
      </c>
      <c r="E37" s="13">
        <f t="shared" si="7"/>
        <v>887296.5</v>
      </c>
      <c r="F37" s="13">
        <f t="shared" si="7"/>
        <v>2656352.43</v>
      </c>
      <c r="G37" s="13">
        <f t="shared" si="7"/>
        <v>1283189.4786000003</v>
      </c>
      <c r="H37" s="13">
        <f t="shared" si="7"/>
        <v>3023220.268172</v>
      </c>
      <c r="I37" s="14">
        <f t="shared" si="7"/>
        <v>4798051.673535439</v>
      </c>
    </row>
    <row r="38" spans="1:9" ht="12.75">
      <c r="A38" s="12" t="s">
        <v>53</v>
      </c>
      <c r="B38" s="13">
        <v>166000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0</v>
      </c>
    </row>
    <row r="39" spans="1:9" ht="12.75">
      <c r="A39" s="12" t="s">
        <v>54</v>
      </c>
      <c r="B39" s="13">
        <f>2066*1600</f>
        <v>3305600</v>
      </c>
      <c r="C39" s="13">
        <v>0</v>
      </c>
      <c r="D39" s="13">
        <v>0</v>
      </c>
      <c r="E39" s="13">
        <v>0</v>
      </c>
      <c r="F39" s="13">
        <f>1986*1600</f>
        <v>3177600</v>
      </c>
      <c r="G39" s="13">
        <v>0</v>
      </c>
      <c r="H39" s="13">
        <v>0</v>
      </c>
      <c r="I39" s="14">
        <v>0</v>
      </c>
    </row>
    <row r="40" spans="1:9" ht="12.75">
      <c r="A40" s="12" t="s">
        <v>45</v>
      </c>
      <c r="B40" s="13">
        <v>0</v>
      </c>
      <c r="C40" s="13">
        <v>1751310</v>
      </c>
      <c r="D40" s="13">
        <v>1751310</v>
      </c>
      <c r="E40" s="13">
        <v>1751310</v>
      </c>
      <c r="F40" s="13">
        <v>1751310</v>
      </c>
      <c r="G40" s="54">
        <v>1714367</v>
      </c>
      <c r="H40" s="54">
        <v>1714367</v>
      </c>
      <c r="I40" s="14">
        <v>1714367</v>
      </c>
    </row>
    <row r="41" spans="1:9" ht="12.75">
      <c r="A41" s="12" t="s">
        <v>55</v>
      </c>
      <c r="B41" s="13">
        <f>B37*0.02</f>
        <v>20000</v>
      </c>
      <c r="C41" s="13">
        <f>C37*0.05</f>
        <v>-122580</v>
      </c>
      <c r="D41" s="13">
        <f>D37*0.05</f>
        <v>-41143.5</v>
      </c>
      <c r="E41" s="13">
        <f aca="true" t="shared" si="8" ref="C41:I41">E37*0.02</f>
        <v>17745.93</v>
      </c>
      <c r="F41" s="13">
        <f t="shared" si="8"/>
        <v>53127.0486</v>
      </c>
      <c r="G41" s="13">
        <f t="shared" si="8"/>
        <v>25663.789572000005</v>
      </c>
      <c r="H41" s="13">
        <f t="shared" si="8"/>
        <v>60464.405363440004</v>
      </c>
      <c r="I41" s="14">
        <f t="shared" si="8"/>
        <v>95961.03347070879</v>
      </c>
    </row>
    <row r="42" spans="1:9" ht="13.5" thickBot="1">
      <c r="A42" s="22" t="s">
        <v>56</v>
      </c>
      <c r="B42" s="23">
        <f>B37-B38-B39+B40+B41</f>
        <v>-2451600</v>
      </c>
      <c r="C42" s="23">
        <f>C37-C38-C39+C40+C41</f>
        <v>-822870</v>
      </c>
      <c r="D42" s="23">
        <f>D37-D38-D39+D40+D41</f>
        <v>887296.5</v>
      </c>
      <c r="E42" s="23">
        <f>E37-E38-E39+E40+E41</f>
        <v>2656352.43</v>
      </c>
      <c r="F42" s="23">
        <f>F37-F38-F39+F40+F41</f>
        <v>1283189.4786000003</v>
      </c>
      <c r="G42" s="23">
        <f>G37-G38-G39+G40+G41</f>
        <v>3023220.268172</v>
      </c>
      <c r="H42" s="23">
        <f>H37-H38-H39+H40+H41</f>
        <v>4798051.673535439</v>
      </c>
      <c r="I42" s="55">
        <f>I37-I38-I39+I40+I41</f>
        <v>6608379.707006148</v>
      </c>
    </row>
  </sheetData>
  <mergeCells count="4">
    <mergeCell ref="A1:I1"/>
    <mergeCell ref="A12:I12"/>
    <mergeCell ref="A23:I23"/>
    <mergeCell ref="A34:I3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Osborne</dc:creator>
  <cp:keywords/>
  <dc:description/>
  <cp:lastModifiedBy>Eric Moos</cp:lastModifiedBy>
  <cp:lastPrinted>2003-02-28T05:35:23Z</cp:lastPrinted>
  <dcterms:created xsi:type="dcterms:W3CDTF">2002-10-01T06:23:40Z</dcterms:created>
  <dcterms:modified xsi:type="dcterms:W3CDTF">2003-02-28T06:05:27Z</dcterms:modified>
  <cp:category/>
  <cp:version/>
  <cp:contentType/>
  <cp:contentStatus/>
</cp:coreProperties>
</file>