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tabRatio="900" activeTab="5"/>
  </bookViews>
  <sheets>
    <sheet name="Experimental Plan and Data" sheetId="1" r:id="rId1"/>
    <sheet name="Calculating S|N" sheetId="2" r:id="rId2"/>
    <sheet name="Response Tables" sheetId="3" r:id="rId3"/>
    <sheet name="Response Plots" sheetId="4" r:id="rId4"/>
    <sheet name="Prediction" sheetId="5" r:id="rId5"/>
    <sheet name="Confirmation" sheetId="6" r:id="rId6"/>
  </sheets>
  <definedNames/>
  <calcPr fullCalcOnLoad="1"/>
</workbook>
</file>

<file path=xl/sharedStrings.xml><?xml version="1.0" encoding="utf-8"?>
<sst xmlns="http://schemas.openxmlformats.org/spreadsheetml/2006/main" count="161" uniqueCount="97">
  <si>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</si>
  <si>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</si>
  <si>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</si>
  <si>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</si>
  <si>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</si>
  <si>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</si>
  <si>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</si>
  <si>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BASELINE Level Number</t>
  </si>
  <si>
    <t xml:space="preserve">Level 1 </t>
  </si>
  <si>
    <t>BASELINE Configuration</t>
  </si>
  <si>
    <t xml:space="preserve">Level 2 </t>
  </si>
  <si>
    <t>Run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</si>
  <si>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</si>
  <si>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</si>
  <si>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Run No</t>
  </si>
  <si>
    <t>1</t>
  </si>
  <si>
    <t>2</t>
  </si>
  <si>
    <t>grand avg:</t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</si>
  <si>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</si>
  <si>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</si>
  <si>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</si>
  <si>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</si>
  <si>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</si>
  <si>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</si>
  <si>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</si>
  <si>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</si>
  <si>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</si>
  <si>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</si>
  <si>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</si>
  <si>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</si>
  <si>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</si>
  <si>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</si>
  <si>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</si>
  <si>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</si>
  <si>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</si>
  <si>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</si>
  <si>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</si>
  <si>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</si>
  <si>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</si>
  <si>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</si>
  <si>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</si>
  <si>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</si>
  <si>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</si>
  <si>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</si>
  <si>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</si>
  <si>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</si>
  <si>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</si>
  <si>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</si>
  <si>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</si>
  <si>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</si>
  <si>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</si>
  <si>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</si>
  <si>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</si>
  <si>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</si>
  <si>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</si>
  <si>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</si>
  <si>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</si>
  <si>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</si>
  <si>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B</t>
  </si>
  <si>
    <t>C</t>
  </si>
  <si>
    <t xml:space="preserve">N1: </t>
  </si>
  <si>
    <t xml:space="preserve">N2:  </t>
  </si>
  <si>
    <t xml:space="preserve">N2: </t>
  </si>
  <si>
    <t>NOISE EXPERIMENT:  Catapult Lab</t>
  </si>
  <si>
    <t>m</t>
  </si>
  <si>
    <t>f</t>
  </si>
  <si>
    <t>Mean</t>
  </si>
  <si>
    <r>
      <t>T-bar</t>
    </r>
    <r>
      <rPr>
        <vertAlign val="subscript"/>
        <sz val="12"/>
        <rFont val="Symbol"/>
        <family val="1"/>
      </rPr>
      <t>m</t>
    </r>
    <r>
      <rPr>
        <sz val="12"/>
        <rFont val="Arial"/>
        <family val="2"/>
      </rPr>
      <t xml:space="preserve"> </t>
    </r>
  </si>
  <si>
    <t>Response Table for Mean</t>
  </si>
  <si>
    <t>B1</t>
  </si>
  <si>
    <t>B2</t>
  </si>
  <si>
    <t>P</t>
  </si>
  <si>
    <t>G</t>
  </si>
  <si>
    <t>S</t>
  </si>
  <si>
    <t>Ball Type</t>
  </si>
  <si>
    <t>Shooter</t>
  </si>
  <si>
    <t>Crossed fingers</t>
  </si>
  <si>
    <t>Anova: Single Factor</t>
  </si>
  <si>
    <t>Groups</t>
  </si>
  <si>
    <t>Count</t>
  </si>
  <si>
    <t>Sum</t>
  </si>
  <si>
    <t>Average</t>
  </si>
  <si>
    <t>Variance</t>
  </si>
  <si>
    <t>Row 1</t>
  </si>
  <si>
    <t>Row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</si>
  <si>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</si>
  <si>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</si>
  <si>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</si>
  <si>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</si>
  <si>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</si>
  <si>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</si>
  <si>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</si>
  <si>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</si>
  <si>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</si>
  <si>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</si>
  <si>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</si>
  <si>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Ave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</si>
</sst>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sz val="11"/>
      <name val="Symbol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0"/>
    </font>
    <font>
      <b/>
      <sz val="10"/>
      <name val="Symbol"/>
      <family val="1"/>
    </font>
    <font>
      <sz val="10"/>
      <color indexed="12"/>
      <name val="Symbol"/>
      <family val="1"/>
    </font>
    <font>
      <sz val="10"/>
      <color indexed="8"/>
      <name val="Arial"/>
      <family val="2"/>
    </font>
    <font>
      <sz val="9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0" fillId="0" borderId="0" xfId="0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7" xfId="0" applyFont="1" applyBorder="1" applyAlignment="1" applyProtection="1">
      <alignment horizontal="centerContinuous" vertical="center"/>
      <protection/>
    </xf>
    <xf numFmtId="0" fontId="13" fillId="0" borderId="8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top"/>
      <protection/>
    </xf>
    <xf numFmtId="172" fontId="0" fillId="2" borderId="9" xfId="0" applyNumberFormat="1" applyFont="1" applyFill="1" applyBorder="1" applyAlignment="1" applyProtection="1" quotePrefix="1">
      <alignment horizontal="right"/>
      <protection locked="0"/>
    </xf>
    <xf numFmtId="172" fontId="0" fillId="2" borderId="10" xfId="0" applyNumberFormat="1" applyFont="1" applyFill="1" applyBorder="1" applyAlignment="1" applyProtection="1">
      <alignment horizontal="right"/>
      <protection locked="0"/>
    </xf>
    <xf numFmtId="172" fontId="0" fillId="2" borderId="11" xfId="0" applyNumberFormat="1" applyFont="1" applyFill="1" applyBorder="1" applyAlignment="1" applyProtection="1">
      <alignment horizontal="right"/>
      <protection locked="0"/>
    </xf>
    <xf numFmtId="172" fontId="0" fillId="2" borderId="12" xfId="0" applyNumberFormat="1" applyFont="1" applyFill="1" applyBorder="1" applyAlignment="1" applyProtection="1" quotePrefix="1">
      <alignment horizontal="right"/>
      <protection locked="0"/>
    </xf>
    <xf numFmtId="172" fontId="0" fillId="2" borderId="13" xfId="0" applyNumberFormat="1" applyFont="1" applyFill="1" applyBorder="1" applyAlignment="1" applyProtection="1">
      <alignment horizontal="right"/>
      <protection locked="0"/>
    </xf>
    <xf numFmtId="172" fontId="0" fillId="2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 quotePrefix="1">
      <alignment horizontal="right"/>
      <protection locked="0"/>
    </xf>
    <xf numFmtId="172" fontId="0" fillId="3" borderId="9" xfId="0" applyNumberFormat="1" applyFont="1" applyFill="1" applyBorder="1" applyAlignment="1" applyProtection="1" quotePrefix="1">
      <alignment horizontal="right"/>
      <protection locked="0"/>
    </xf>
    <xf numFmtId="172" fontId="0" fillId="3" borderId="10" xfId="0" applyNumberFormat="1" applyFont="1" applyFill="1" applyBorder="1" applyAlignment="1" applyProtection="1">
      <alignment horizontal="right"/>
      <protection locked="0"/>
    </xf>
    <xf numFmtId="172" fontId="0" fillId="3" borderId="16" xfId="0" applyNumberFormat="1" applyFont="1" applyFill="1" applyBorder="1" applyAlignment="1" applyProtection="1" quotePrefix="1">
      <alignment horizontal="right"/>
      <protection locked="0"/>
    </xf>
    <xf numFmtId="172" fontId="0" fillId="3" borderId="12" xfId="0" applyNumberFormat="1" applyFont="1" applyFill="1" applyBorder="1" applyAlignment="1" applyProtection="1" quotePrefix="1">
      <alignment horizontal="right"/>
      <protection locked="0"/>
    </xf>
    <xf numFmtId="172" fontId="0" fillId="3" borderId="13" xfId="0" applyNumberFormat="1" applyFont="1" applyFill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 vertical="top"/>
      <protection/>
    </xf>
    <xf numFmtId="49" fontId="18" fillId="0" borderId="4" xfId="0" applyNumberFormat="1" applyFont="1" applyBorder="1" applyAlignment="1" applyProtection="1" quotePrefix="1">
      <alignment horizontal="center" vertical="top"/>
      <protection/>
    </xf>
    <xf numFmtId="49" fontId="18" fillId="0" borderId="6" xfId="0" applyNumberFormat="1" applyFont="1" applyBorder="1" applyAlignment="1" applyProtection="1" quotePrefix="1">
      <alignment horizontal="center" vertical="top"/>
      <protection/>
    </xf>
    <xf numFmtId="49" fontId="18" fillId="0" borderId="18" xfId="0" applyNumberFormat="1" applyFont="1" applyBorder="1" applyAlignment="1" applyProtection="1" quotePrefix="1">
      <alignment horizontal="center" vertical="top"/>
      <protection/>
    </xf>
    <xf numFmtId="49" fontId="18" fillId="0" borderId="0" xfId="0" applyNumberFormat="1" applyFont="1" applyBorder="1" applyAlignment="1" applyProtection="1" quotePrefix="1">
      <alignment horizontal="center" vertical="top"/>
      <protection/>
    </xf>
    <xf numFmtId="49" fontId="18" fillId="0" borderId="2" xfId="0" applyNumberFormat="1" applyFont="1" applyBorder="1" applyAlignment="1" applyProtection="1" quotePrefix="1">
      <alignment horizontal="center" vertical="top"/>
      <protection/>
    </xf>
    <xf numFmtId="49" fontId="18" fillId="0" borderId="7" xfId="0" applyNumberFormat="1" applyFont="1" applyBorder="1" applyAlignment="1" applyProtection="1" quotePrefix="1">
      <alignment horizontal="center" vertical="top"/>
      <protection/>
    </xf>
    <xf numFmtId="49" fontId="18" fillId="0" borderId="8" xfId="0" applyNumberFormat="1" applyFont="1" applyBorder="1" applyAlignment="1" applyProtection="1" quotePrefix="1">
      <alignment horizontal="center" vertical="top"/>
      <protection/>
    </xf>
    <xf numFmtId="49" fontId="18" fillId="0" borderId="1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Continuous" vertical="top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72" fontId="0" fillId="3" borderId="20" xfId="0" applyNumberFormat="1" applyFont="1" applyFill="1" applyBorder="1" applyAlignment="1" applyProtection="1">
      <alignment horizontal="right"/>
      <protection locked="0"/>
    </xf>
    <xf numFmtId="172" fontId="0" fillId="3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4" xfId="0" applyFont="1" applyFill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right"/>
      <protection/>
    </xf>
    <xf numFmtId="172" fontId="23" fillId="0" borderId="4" xfId="0" applyNumberFormat="1" applyFont="1" applyFill="1" applyBorder="1" applyAlignment="1" applyProtection="1">
      <alignment horizontal="left"/>
      <protection/>
    </xf>
    <xf numFmtId="0" fontId="24" fillId="0" borderId="4" xfId="0" applyFont="1" applyFill="1" applyBorder="1" applyAlignment="1" applyProtection="1">
      <alignment horizontal="centerContinuous"/>
      <protection/>
    </xf>
    <xf numFmtId="0" fontId="24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4" fillId="0" borderId="2" xfId="0" applyNumberFormat="1" applyFont="1" applyBorder="1" applyAlignment="1" applyProtection="1">
      <alignment horizontal="center"/>
      <protection/>
    </xf>
    <xf numFmtId="49" fontId="0" fillId="4" borderId="22" xfId="0" applyNumberFormat="1" applyFont="1" applyFill="1" applyBorder="1" applyAlignment="1" applyProtection="1">
      <alignment horizontal="center"/>
      <protection locked="0"/>
    </xf>
    <xf numFmtId="49" fontId="0" fillId="4" borderId="23" xfId="0" applyNumberFormat="1" applyFont="1" applyFill="1" applyBorder="1" applyAlignment="1" applyProtection="1">
      <alignment horizontal="center"/>
      <protection locked="0"/>
    </xf>
    <xf numFmtId="49" fontId="0" fillId="4" borderId="24" xfId="0" applyNumberFormat="1" applyFont="1" applyFill="1" applyBorder="1" applyAlignment="1" applyProtection="1">
      <alignment horizontal="center"/>
      <protection locked="0"/>
    </xf>
    <xf numFmtId="49" fontId="0" fillId="4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4" borderId="26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6" fillId="0" borderId="0" xfId="0" applyFont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3" fillId="4" borderId="2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6" fillId="0" borderId="28" xfId="0" applyNumberFormat="1" applyFont="1" applyBorder="1" applyAlignment="1" applyProtection="1">
      <alignment horizontal="centerContinuous"/>
      <protection/>
    </xf>
    <xf numFmtId="172" fontId="6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Continuous"/>
      <protection/>
    </xf>
    <xf numFmtId="0" fontId="27" fillId="0" borderId="4" xfId="0" applyFont="1" applyFill="1" applyBorder="1" applyAlignment="1" applyProtection="1">
      <alignment horizontal="centerContinuous"/>
      <protection/>
    </xf>
    <xf numFmtId="0" fontId="27" fillId="0" borderId="29" xfId="0" applyFont="1" applyFill="1" applyBorder="1" applyAlignment="1" applyProtection="1">
      <alignment horizontal="centerContinuous"/>
      <protection/>
    </xf>
    <xf numFmtId="0" fontId="27" fillId="0" borderId="6" xfId="0" applyFont="1" applyFill="1" applyBorder="1" applyAlignment="1" applyProtection="1">
      <alignment horizontal="centerContinuous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7" fillId="0" borderId="30" xfId="0" applyFont="1" applyFill="1" applyBorder="1" applyAlignment="1" applyProtection="1">
      <alignment horizontal="right" vertical="center"/>
      <protection/>
    </xf>
    <xf numFmtId="0" fontId="28" fillId="0" borderId="7" xfId="0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28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horizontal="right" vertical="center"/>
      <protection/>
    </xf>
    <xf numFmtId="0" fontId="27" fillId="0" borderId="28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8" fillId="0" borderId="33" xfId="0" applyFont="1" applyBorder="1" applyAlignment="1">
      <alignment horizont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7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8" xfId="0" applyNumberForma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172" fontId="0" fillId="4" borderId="5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0" borderId="31" xfId="0" applyNumberFormat="1" applyFont="1" applyBorder="1" applyAlignment="1" applyProtection="1">
      <alignment horizontal="center"/>
      <protection/>
    </xf>
    <xf numFmtId="172" fontId="0" fillId="0" borderId="37" xfId="0" applyNumberFormat="1" applyFont="1" applyBorder="1" applyAlignment="1" applyProtection="1">
      <alignment horizontal="center"/>
      <protection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17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2" fontId="0" fillId="0" borderId="37" xfId="0" applyNumberFormat="1" applyFont="1" applyBorder="1" applyAlignment="1" applyProtection="1">
      <alignment horizontal="center"/>
      <protection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2" fontId="0" fillId="0" borderId="0" xfId="0" applyNumberFormat="1" applyBorder="1" applyAlignment="1">
      <alignment horizontal="centerContinuous"/>
    </xf>
    <xf numFmtId="172" fontId="6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 wrapText="1"/>
      <protection/>
    </xf>
    <xf numFmtId="0" fontId="35" fillId="0" borderId="33" xfId="0" applyFont="1" applyBorder="1" applyAlignment="1">
      <alignment horizontal="center" wrapText="1"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8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37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 quotePrefix="1">
      <alignment horizontal="right"/>
    </xf>
    <xf numFmtId="0" fontId="0" fillId="0" borderId="39" xfId="0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5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37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3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ill="1" applyBorder="1" applyAlignment="1">
      <alignment horizontal="right"/>
    </xf>
    <xf numFmtId="0" fontId="32" fillId="0" borderId="33" xfId="0" applyFont="1" applyBorder="1" applyAlignment="1">
      <alignment/>
    </xf>
    <xf numFmtId="0" fontId="0" fillId="0" borderId="39" xfId="0" applyBorder="1" applyAlignment="1">
      <alignment/>
    </xf>
    <xf numFmtId="0" fontId="27" fillId="0" borderId="3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5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 wrapText="1"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43" xfId="0" applyFont="1" applyFill="1" applyBorder="1" applyAlignment="1" applyProtection="1">
      <alignment horizontal="centerContinuous"/>
      <protection/>
    </xf>
    <xf numFmtId="0" fontId="1" fillId="0" borderId="34" xfId="0" applyFont="1" applyFill="1" applyBorder="1" applyAlignment="1" applyProtection="1">
      <alignment horizontal="centerContinuous"/>
      <protection/>
    </xf>
    <xf numFmtId="0" fontId="27" fillId="0" borderId="44" xfId="0" applyFont="1" applyFill="1" applyBorder="1" applyAlignment="1" applyProtection="1">
      <alignment horizontal="centerContinuous"/>
      <protection/>
    </xf>
    <xf numFmtId="0" fontId="27" fillId="0" borderId="30" xfId="0" applyFont="1" applyFill="1" applyBorder="1" applyAlignment="1" applyProtection="1">
      <alignment horizontal="centerContinuous"/>
      <protection/>
    </xf>
    <xf numFmtId="0" fontId="27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29" fillId="5" borderId="31" xfId="0" applyNumberFormat="1" applyFont="1" applyFill="1" applyBorder="1" applyAlignment="1" applyProtection="1">
      <alignment horizontal="centerContinuous" vertical="center"/>
      <protection/>
    </xf>
    <xf numFmtId="172" fontId="29" fillId="5" borderId="32" xfId="0" applyNumberFormat="1" applyFont="1" applyFill="1" applyBorder="1" applyAlignment="1" applyProtection="1">
      <alignment horizontal="centerContinuous" vertical="center"/>
      <protection/>
    </xf>
    <xf numFmtId="2" fontId="29" fillId="5" borderId="45" xfId="0" applyNumberFormat="1" applyFont="1" applyFill="1" applyBorder="1" applyAlignment="1" applyProtection="1">
      <alignment horizontal="centerContinuous" vertical="center"/>
      <protection/>
    </xf>
    <xf numFmtId="172" fontId="29" fillId="6" borderId="46" xfId="0" applyNumberFormat="1" applyFont="1" applyFill="1" applyBorder="1" applyAlignment="1" applyProtection="1">
      <alignment horizontal="centerContinuous" vertical="center"/>
      <protection/>
    </xf>
    <xf numFmtId="172" fontId="29" fillId="6" borderId="38" xfId="0" applyNumberFormat="1" applyFont="1" applyFill="1" applyBorder="1" applyAlignment="1" applyProtection="1">
      <alignment horizontal="centerContinuous" vertical="center"/>
      <protection/>
    </xf>
    <xf numFmtId="2" fontId="29" fillId="6" borderId="36" xfId="0" applyNumberFormat="1" applyFont="1" applyFill="1" applyBorder="1" applyAlignment="1" applyProtection="1">
      <alignment horizontal="centerContinuous" vertical="center"/>
      <protection/>
    </xf>
    <xf numFmtId="172" fontId="29" fillId="0" borderId="47" xfId="0" applyNumberFormat="1" applyFont="1" applyFill="1" applyBorder="1" applyAlignment="1" applyProtection="1">
      <alignment horizontal="centerContinuous" vertical="center"/>
      <protection/>
    </xf>
    <xf numFmtId="172" fontId="29" fillId="0" borderId="48" xfId="0" applyNumberFormat="1" applyFont="1" applyFill="1" applyBorder="1" applyAlignment="1" applyProtection="1">
      <alignment horizontal="centerContinuous" vertical="center"/>
      <protection/>
    </xf>
    <xf numFmtId="2" fontId="29" fillId="0" borderId="49" xfId="0" applyNumberFormat="1" applyFont="1" applyFill="1" applyBorder="1" applyAlignment="1" applyProtection="1">
      <alignment horizontal="centerContinuous" vertical="center"/>
      <protection/>
    </xf>
    <xf numFmtId="17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38" xfId="0" applyNumberFormat="1" applyFont="1" applyFill="1" applyBorder="1" applyAlignment="1" applyProtection="1">
      <alignment horizontal="centerContinuous" vertical="center"/>
      <protection/>
    </xf>
    <xf numFmtId="17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32" xfId="0" applyNumberFormat="1" applyFont="1" applyFill="1" applyBorder="1" applyAlignment="1" applyProtection="1">
      <alignment horizontal="centerContinuous" vertical="center"/>
      <protection/>
    </xf>
    <xf numFmtId="17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48" xfId="0" applyNumberFormat="1" applyFont="1" applyFill="1" applyBorder="1" applyAlignment="1" applyProtection="1">
      <alignment horizontal="centerContinuous" vertical="center"/>
      <protection/>
    </xf>
    <xf numFmtId="2" fontId="43" fillId="6" borderId="36" xfId="0" applyNumberFormat="1" applyFont="1" applyFill="1" applyBorder="1" applyAlignment="1" applyProtection="1">
      <alignment horizontal="centerContinuous" vertical="center"/>
      <protection/>
    </xf>
    <xf numFmtId="2" fontId="43" fillId="6" borderId="50" xfId="0" applyNumberFormat="1" applyFont="1" applyFill="1" applyBorder="1" applyAlignment="1" applyProtection="1">
      <alignment horizontal="centerContinuous" vertical="center"/>
      <protection/>
    </xf>
    <xf numFmtId="2" fontId="43" fillId="5" borderId="45" xfId="0" applyNumberFormat="1" applyFont="1" applyFill="1" applyBorder="1" applyAlignment="1" applyProtection="1">
      <alignment horizontal="centerContinuous" vertical="center"/>
      <protection/>
    </xf>
    <xf numFmtId="2" fontId="43" fillId="5" borderId="51" xfId="0" applyNumberFormat="1" applyFont="1" applyFill="1" applyBorder="1" applyAlignment="1" applyProtection="1">
      <alignment horizontal="centerContinuous" vertical="center"/>
      <protection/>
    </xf>
    <xf numFmtId="2" fontId="43" fillId="0" borderId="49" xfId="0" applyNumberFormat="1" applyFont="1" applyFill="1" applyBorder="1" applyAlignment="1" applyProtection="1">
      <alignment horizontal="centerContinuous" vertical="center"/>
      <protection/>
    </xf>
    <xf numFmtId="2" fontId="43" fillId="0" borderId="5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5" fillId="0" borderId="19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38" fillId="0" borderId="53" xfId="0" applyFont="1" applyBorder="1" applyAlignment="1" applyProtection="1">
      <alignment horizontal="center"/>
      <protection/>
    </xf>
    <xf numFmtId="0" fontId="38" fillId="0" borderId="4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9" fontId="24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2" fillId="0" borderId="0" xfId="0" applyFont="1" applyFill="1" applyAlignment="1" applyProtection="1">
      <alignment horizontal="centerContinuous"/>
      <protection/>
    </xf>
    <xf numFmtId="0" fontId="54" fillId="0" borderId="47" xfId="0" applyFont="1" applyFill="1" applyBorder="1" applyAlignment="1" applyProtection="1">
      <alignment horizontal="center" vertical="center"/>
      <protection/>
    </xf>
    <xf numFmtId="0" fontId="54" fillId="0" borderId="54" xfId="0" applyFont="1" applyFill="1" applyBorder="1" applyAlignment="1" applyProtection="1">
      <alignment horizontal="center" vertical="center"/>
      <protection/>
    </xf>
    <xf numFmtId="0" fontId="54" fillId="0" borderId="52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55" fillId="0" borderId="5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56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6" borderId="28" xfId="0" applyFill="1" applyBorder="1" applyAlignment="1">
      <alignment/>
    </xf>
    <xf numFmtId="0" fontId="1" fillId="6" borderId="28" xfId="0" applyFont="1" applyFill="1" applyBorder="1" applyAlignment="1">
      <alignment horizontal="right"/>
    </xf>
    <xf numFmtId="0" fontId="1" fillId="6" borderId="28" xfId="0" applyFont="1" applyFill="1" applyBorder="1" applyAlignment="1">
      <alignment/>
    </xf>
    <xf numFmtId="0" fontId="0" fillId="5" borderId="28" xfId="0" applyFill="1" applyBorder="1" applyAlignment="1">
      <alignment/>
    </xf>
    <xf numFmtId="0" fontId="1" fillId="5" borderId="28" xfId="0" applyFont="1" applyFill="1" applyBorder="1" applyAlignment="1">
      <alignment horizontal="right"/>
    </xf>
    <xf numFmtId="0" fontId="1" fillId="5" borderId="28" xfId="0" applyFont="1" applyFill="1" applyBorder="1" applyAlignment="1">
      <alignment/>
    </xf>
    <xf numFmtId="172" fontId="1" fillId="6" borderId="28" xfId="0" applyNumberFormat="1" applyFont="1" applyFill="1" applyBorder="1" applyAlignment="1">
      <alignment horizontal="right"/>
    </xf>
    <xf numFmtId="2" fontId="1" fillId="6" borderId="28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/>
      <protection/>
    </xf>
    <xf numFmtId="0" fontId="13" fillId="0" borderId="8" xfId="0" applyFont="1" applyBorder="1" applyAlignment="1" applyProtection="1">
      <alignment horizontal="centerContinuous"/>
      <protection/>
    </xf>
    <xf numFmtId="2" fontId="0" fillId="6" borderId="41" xfId="0" applyNumberFormat="1" applyFont="1" applyFill="1" applyBorder="1" applyAlignment="1" applyProtection="1">
      <alignment horizontal="right"/>
      <protection/>
    </xf>
    <xf numFmtId="172" fontId="2" fillId="6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6" borderId="0" xfId="0" applyFill="1" applyBorder="1" applyAlignment="1" applyProtection="1">
      <alignment horizontal="centerContinuous"/>
      <protection/>
    </xf>
    <xf numFmtId="0" fontId="0" fillId="5" borderId="37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" fillId="7" borderId="2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172" fontId="0" fillId="2" borderId="26" xfId="0" applyNumberFormat="1" applyFill="1" applyBorder="1" applyAlignment="1" applyProtection="1">
      <alignment horizontal="right"/>
      <protection locked="0"/>
    </xf>
    <xf numFmtId="172" fontId="0" fillId="4" borderId="26" xfId="0" applyNumberFormat="1" applyFill="1" applyBorder="1" applyAlignment="1" applyProtection="1">
      <alignment horizontal="righ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2" fontId="0" fillId="4" borderId="26" xfId="0" applyNumberForma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right" wrapText="1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72" fontId="8" fillId="0" borderId="4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8" fillId="0" borderId="53" xfId="0" applyNumberFormat="1" applyFont="1" applyFill="1" applyBorder="1" applyAlignment="1" applyProtection="1">
      <alignment horizontal="right"/>
      <protection/>
    </xf>
    <xf numFmtId="172" fontId="8" fillId="0" borderId="53" xfId="0" applyNumberFormat="1" applyFont="1" applyFill="1" applyBorder="1" applyAlignment="1" applyProtection="1">
      <alignment horizontal="right"/>
      <protection/>
    </xf>
    <xf numFmtId="2" fontId="8" fillId="0" borderId="42" xfId="0" applyNumberFormat="1" applyFont="1" applyFill="1" applyBorder="1" applyAlignment="1" applyProtection="1">
      <alignment horizontal="right"/>
      <protection/>
    </xf>
    <xf numFmtId="172" fontId="8" fillId="0" borderId="42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 horizontal="center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172" fontId="0" fillId="0" borderId="2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20" fillId="0" borderId="0" xfId="0" applyNumberFormat="1" applyFont="1" applyFill="1" applyBorder="1" applyAlignment="1" applyProtection="1" quotePrefix="1">
      <alignment horizontal="right"/>
      <protection/>
    </xf>
    <xf numFmtId="172" fontId="20" fillId="0" borderId="0" xfId="0" applyNumberFormat="1" applyFont="1" applyFill="1" applyBorder="1" applyAlignment="1" applyProtection="1">
      <alignment horizontal="right"/>
      <protection/>
    </xf>
    <xf numFmtId="0" fontId="41" fillId="7" borderId="26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72" fontId="0" fillId="0" borderId="57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 quotePrefix="1">
      <alignment horizontal="right"/>
      <protection/>
    </xf>
    <xf numFmtId="172" fontId="0" fillId="0" borderId="5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60" xfId="0" applyNumberFormat="1" applyFont="1" applyFill="1" applyBorder="1" applyAlignment="1" applyProtection="1" quotePrefix="1">
      <alignment horizontal="right"/>
      <protection/>
    </xf>
    <xf numFmtId="172" fontId="0" fillId="0" borderId="61" xfId="0" applyNumberFormat="1" applyFont="1" applyFill="1" applyBorder="1" applyAlignment="1" applyProtection="1">
      <alignment horizontal="right"/>
      <protection/>
    </xf>
    <xf numFmtId="172" fontId="0" fillId="0" borderId="62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 quotePrefix="1">
      <alignment horizontal="right"/>
      <protection/>
    </xf>
    <xf numFmtId="172" fontId="0" fillId="0" borderId="63" xfId="0" applyNumberFormat="1" applyFont="1" applyFill="1" applyBorder="1" applyAlignment="1" applyProtection="1">
      <alignment horizontal="right"/>
      <protection/>
    </xf>
    <xf numFmtId="172" fontId="0" fillId="0" borderId="64" xfId="0" applyNumberFormat="1" applyFont="1" applyFill="1" applyBorder="1" applyAlignment="1" applyProtection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/>
      <protection/>
    </xf>
    <xf numFmtId="1" fontId="50" fillId="0" borderId="0" xfId="0" applyNumberFormat="1" applyFont="1" applyFill="1" applyAlignment="1" applyProtection="1">
      <alignment horizontal="left"/>
      <protection/>
    </xf>
    <xf numFmtId="172" fontId="10" fillId="0" borderId="35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2" fontId="23" fillId="0" borderId="57" xfId="0" applyNumberFormat="1" applyFont="1" applyFill="1" applyBorder="1" applyAlignment="1" applyProtection="1" quotePrefix="1">
      <alignment horizontal="right"/>
      <protection/>
    </xf>
    <xf numFmtId="2" fontId="23" fillId="0" borderId="58" xfId="0" applyNumberFormat="1" applyFont="1" applyFill="1" applyBorder="1" applyAlignment="1" applyProtection="1" quotePrefix="1">
      <alignment horizontal="right"/>
      <protection/>
    </xf>
    <xf numFmtId="0" fontId="13" fillId="8" borderId="0" xfId="0" applyNumberFormat="1" applyFont="1" applyFill="1" applyBorder="1" applyAlignment="1" applyProtection="1">
      <alignment horizontal="center"/>
      <protection locked="0"/>
    </xf>
    <xf numFmtId="0" fontId="13" fillId="8" borderId="0" xfId="0" applyNumberFormat="1" applyFont="1" applyFill="1" applyBorder="1" applyAlignment="1" applyProtection="1">
      <alignment horizontal="center"/>
      <protection/>
    </xf>
    <xf numFmtId="49" fontId="0" fillId="8" borderId="0" xfId="0" applyNumberFormat="1" applyFont="1" applyFill="1" applyBorder="1" applyAlignment="1" applyProtection="1">
      <alignment horizontal="center"/>
      <protection locked="0"/>
    </xf>
    <xf numFmtId="49" fontId="0" fillId="8" borderId="0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right"/>
      <protection locked="0"/>
    </xf>
    <xf numFmtId="0" fontId="13" fillId="4" borderId="72" xfId="0" applyNumberFormat="1" applyFont="1" applyFill="1" applyBorder="1" applyAlignment="1" applyProtection="1">
      <alignment horizontal="center"/>
      <protection locked="0"/>
    </xf>
    <xf numFmtId="0" fontId="13" fillId="4" borderId="73" xfId="0" applyNumberFormat="1" applyFont="1" applyFill="1" applyBorder="1" applyAlignment="1" applyProtection="1">
      <alignment horizontal="center"/>
      <protection/>
    </xf>
    <xf numFmtId="49" fontId="0" fillId="4" borderId="56" xfId="0" applyNumberFormat="1" applyFont="1" applyFill="1" applyBorder="1" applyAlignment="1" applyProtection="1">
      <alignment horizontal="center"/>
      <protection/>
    </xf>
    <xf numFmtId="49" fontId="0" fillId="4" borderId="74" xfId="0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172" fontId="39" fillId="0" borderId="0" xfId="0" applyNumberFormat="1" applyFont="1" applyFill="1" applyBorder="1" applyAlignment="1" applyProtection="1" quotePrefix="1">
      <alignment horizontal="right"/>
      <protection/>
    </xf>
    <xf numFmtId="172" fontId="39" fillId="0" borderId="0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172" fontId="40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23" fillId="0" borderId="0" xfId="0" applyNumberFormat="1" applyFont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 quotePrefix="1">
      <alignment horizontal="right"/>
      <protection/>
    </xf>
    <xf numFmtId="2" fontId="23" fillId="0" borderId="61" xfId="0" applyNumberFormat="1" applyFont="1" applyFill="1" applyBorder="1" applyAlignment="1" applyProtection="1" quotePrefix="1">
      <alignment horizontal="right"/>
      <protection/>
    </xf>
    <xf numFmtId="2" fontId="23" fillId="0" borderId="62" xfId="0" applyNumberFormat="1" applyFont="1" applyFill="1" applyBorder="1" applyAlignment="1" applyProtection="1" quotePrefix="1">
      <alignment horizontal="right"/>
      <protection/>
    </xf>
    <xf numFmtId="2" fontId="23" fillId="0" borderId="63" xfId="0" applyNumberFormat="1" applyFont="1" applyFill="1" applyBorder="1" applyAlignment="1" applyProtection="1" quotePrefix="1">
      <alignment horizontal="right"/>
      <protection/>
    </xf>
    <xf numFmtId="2" fontId="23" fillId="0" borderId="66" xfId="0" applyNumberFormat="1" applyFont="1" applyFill="1" applyBorder="1" applyAlignment="1" applyProtection="1" quotePrefix="1">
      <alignment horizontal="right"/>
      <protection/>
    </xf>
    <xf numFmtId="2" fontId="23" fillId="0" borderId="67" xfId="0" applyNumberFormat="1" applyFont="1" applyFill="1" applyBorder="1" applyAlignment="1" applyProtection="1" quotePrefix="1">
      <alignment horizontal="right"/>
      <protection/>
    </xf>
    <xf numFmtId="2" fontId="23" fillId="0" borderId="68" xfId="0" applyNumberFormat="1" applyFont="1" applyFill="1" applyBorder="1" applyAlignment="1" applyProtection="1" quotePrefix="1">
      <alignment horizontal="right"/>
      <protection/>
    </xf>
    <xf numFmtId="2" fontId="23" fillId="0" borderId="71" xfId="0" applyNumberFormat="1" applyFont="1" applyFill="1" applyBorder="1" applyAlignment="1" applyProtection="1" quotePrefix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0" fontId="28" fillId="8" borderId="0" xfId="0" applyFont="1" applyFill="1" applyBorder="1" applyAlignment="1" applyProtection="1">
      <alignment horizontal="right"/>
      <protection/>
    </xf>
    <xf numFmtId="172" fontId="23" fillId="8" borderId="0" xfId="0" applyNumberFormat="1" applyFont="1" applyFill="1" applyBorder="1" applyAlignment="1" applyProtection="1">
      <alignment horizontal="right" vertical="center"/>
      <protection/>
    </xf>
    <xf numFmtId="0" fontId="0" fillId="8" borderId="0" xfId="0" applyFill="1" applyBorder="1" applyAlignment="1" applyProtection="1">
      <alignment/>
      <protection/>
    </xf>
    <xf numFmtId="0" fontId="46" fillId="8" borderId="0" xfId="0" applyFont="1" applyFill="1" applyBorder="1" applyAlignment="1" applyProtection="1">
      <alignment horizontal="right"/>
      <protection/>
    </xf>
    <xf numFmtId="172" fontId="24" fillId="8" borderId="0" xfId="0" applyNumberFormat="1" applyFont="1" applyFill="1" applyBorder="1" applyAlignment="1" applyProtection="1">
      <alignment horizontal="right" vertical="center"/>
      <protection locked="0"/>
    </xf>
    <xf numFmtId="172" fontId="24" fillId="8" borderId="0" xfId="0" applyNumberFormat="1" applyFont="1" applyFill="1" applyBorder="1" applyAlignment="1" applyProtection="1">
      <alignment horizontal="right" vertical="center"/>
      <protection/>
    </xf>
    <xf numFmtId="0" fontId="9" fillId="8" borderId="0" xfId="0" applyFont="1" applyFill="1" applyBorder="1" applyAlignment="1" applyProtection="1">
      <alignment horizontal="center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 locked="0"/>
    </xf>
    <xf numFmtId="2" fontId="24" fillId="8" borderId="0" xfId="0" applyNumberFormat="1" applyFon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2" fontId="24" fillId="8" borderId="53" xfId="0" applyNumberFormat="1" applyFont="1" applyFill="1" applyBorder="1" applyAlignment="1" applyProtection="1">
      <alignment horizontal="right"/>
      <protection locked="0"/>
    </xf>
    <xf numFmtId="2" fontId="24" fillId="8" borderId="42" xfId="0" applyNumberFormat="1" applyFont="1" applyFill="1" applyBorder="1" applyAlignment="1" applyProtection="1">
      <alignment horizontal="right"/>
      <protection locked="0"/>
    </xf>
    <xf numFmtId="172" fontId="24" fillId="0" borderId="53" xfId="0" applyNumberFormat="1" applyFont="1" applyFill="1" applyBorder="1" applyAlignment="1" applyProtection="1">
      <alignment horizontal="right"/>
      <protection/>
    </xf>
    <xf numFmtId="172" fontId="24" fillId="0" borderId="42" xfId="0" applyNumberFormat="1" applyFont="1" applyFill="1" applyBorder="1" applyAlignment="1" applyProtection="1">
      <alignment horizontal="right"/>
      <protection/>
    </xf>
    <xf numFmtId="2" fontId="0" fillId="4" borderId="75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horizontal="center" vertical="top"/>
      <protection/>
    </xf>
    <xf numFmtId="49" fontId="18" fillId="0" borderId="7" xfId="0" applyNumberFormat="1" applyFont="1" applyBorder="1" applyAlignment="1" applyProtection="1">
      <alignment horizontal="center" vertical="top"/>
      <protection/>
    </xf>
    <xf numFmtId="49" fontId="18" fillId="0" borderId="4" xfId="0" applyNumberFormat="1" applyFont="1" applyBorder="1" applyAlignment="1" applyProtection="1">
      <alignment horizontal="center" vertical="top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49" fontId="18" fillId="0" borderId="8" xfId="0" applyNumberFormat="1" applyFont="1" applyBorder="1" applyAlignment="1" applyProtection="1">
      <alignment horizontal="center" vertical="top"/>
      <protection/>
    </xf>
    <xf numFmtId="49" fontId="18" fillId="0" borderId="6" xfId="0" applyNumberFormat="1" applyFont="1" applyBorder="1" applyAlignment="1" applyProtection="1">
      <alignment horizontal="center" vertical="top"/>
      <protection/>
    </xf>
    <xf numFmtId="49" fontId="18" fillId="0" borderId="2" xfId="0" applyNumberFormat="1" applyFont="1" applyBorder="1" applyAlignment="1" applyProtection="1">
      <alignment horizontal="center" vertical="top"/>
      <protection/>
    </xf>
    <xf numFmtId="49" fontId="18" fillId="0" borderId="1" xfId="0" applyNumberFormat="1" applyFont="1" applyBorder="1" applyAlignment="1" applyProtection="1">
      <alignment horizontal="center" vertical="top"/>
      <protection/>
    </xf>
    <xf numFmtId="172" fontId="0" fillId="2" borderId="6" xfId="0" applyNumberFormat="1" applyFont="1" applyFill="1" applyBorder="1" applyAlignment="1" applyProtection="1">
      <alignment horizontal="center"/>
      <protection/>
    </xf>
    <xf numFmtId="172" fontId="0" fillId="2" borderId="5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172" fontId="0" fillId="7" borderId="18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/>
    </xf>
    <xf numFmtId="172" fontId="0" fillId="8" borderId="0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53" fillId="8" borderId="0" xfId="0" applyFont="1" applyFill="1" applyBorder="1" applyAlignment="1" applyProtection="1">
      <alignment/>
      <protection/>
    </xf>
    <xf numFmtId="0" fontId="4" fillId="8" borderId="0" xfId="0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0" fillId="7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 horizontal="center"/>
      <protection/>
    </xf>
    <xf numFmtId="2" fontId="0" fillId="2" borderId="51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5" fillId="8" borderId="0" xfId="0" applyNumberFormat="1" applyFont="1" applyFill="1" applyBorder="1" applyAlignment="1" applyProtection="1">
      <alignment horizontal="center" vertical="center"/>
      <protection/>
    </xf>
    <xf numFmtId="2" fontId="0" fillId="6" borderId="55" xfId="0" applyNumberFormat="1" applyFont="1" applyFill="1" applyBorder="1" applyAlignment="1" applyProtection="1">
      <alignment horizontal="right"/>
      <protection/>
    </xf>
    <xf numFmtId="172" fontId="2" fillId="6" borderId="55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24" fillId="8" borderId="0" xfId="0" applyNumberFormat="1" applyFont="1" applyFill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left" vertical="center" indent="5"/>
      <protection/>
    </xf>
    <xf numFmtId="0" fontId="24" fillId="8" borderId="29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left" vertical="center" indent="5"/>
      <protection/>
    </xf>
    <xf numFmtId="0" fontId="8" fillId="0" borderId="0" xfId="0" applyFont="1" applyBorder="1" applyAlignment="1" applyProtection="1">
      <alignment horizontal="righ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5" fillId="0" borderId="0" xfId="0" applyFont="1" applyBorder="1" applyAlignment="1" applyProtection="1">
      <alignment horizontal="centerContinuous" vertical="top"/>
      <protection/>
    </xf>
    <xf numFmtId="0" fontId="13" fillId="0" borderId="8" xfId="0" applyFont="1" applyBorder="1" applyAlignment="1" applyProtection="1">
      <alignment horizontal="left" vertical="center" indent="5"/>
      <protection/>
    </xf>
    <xf numFmtId="0" fontId="0" fillId="8" borderId="0" xfId="0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 applyProtection="1">
      <alignment horizontal="center"/>
      <protection/>
    </xf>
    <xf numFmtId="0" fontId="13" fillId="8" borderId="0" xfId="0" applyFont="1" applyFill="1" applyBorder="1" applyAlignment="1" applyProtection="1">
      <alignment horizontal="centerContinuous" vertical="center"/>
      <protection/>
    </xf>
    <xf numFmtId="0" fontId="13" fillId="8" borderId="0" xfId="0" applyFont="1" applyFill="1" applyBorder="1" applyAlignment="1" applyProtection="1">
      <alignment horizontal="centerContinuous"/>
      <protection/>
    </xf>
    <xf numFmtId="0" fontId="12" fillId="8" borderId="0" xfId="0" applyFont="1" applyFill="1" applyBorder="1" applyAlignment="1" applyProtection="1">
      <alignment horizontal="centerContinuous" vertical="top"/>
      <protection/>
    </xf>
    <xf numFmtId="0" fontId="13" fillId="8" borderId="0" xfId="0" applyFont="1" applyFill="1" applyBorder="1" applyAlignment="1" applyProtection="1">
      <alignment horizontal="centerContinuous" vertical="top"/>
      <protection/>
    </xf>
    <xf numFmtId="172" fontId="0" fillId="8" borderId="0" xfId="0" applyNumberFormat="1" applyFont="1" applyFill="1" applyBorder="1" applyAlignment="1" applyProtection="1" quotePrefix="1">
      <alignment horizontal="right"/>
      <protection locked="0"/>
    </xf>
    <xf numFmtId="172" fontId="0" fillId="8" borderId="0" xfId="0" applyNumberFormat="1" applyFont="1" applyFill="1" applyBorder="1" applyAlignment="1" applyProtection="1">
      <alignment horizontal="right"/>
      <protection locked="0"/>
    </xf>
    <xf numFmtId="0" fontId="30" fillId="0" borderId="56" xfId="0" applyFont="1" applyBorder="1" applyAlignment="1" applyProtection="1">
      <alignment horizontal="center" vertical="center" wrapText="1"/>
      <protection/>
    </xf>
    <xf numFmtId="2" fontId="2" fillId="6" borderId="77" xfId="0" applyNumberFormat="1" applyFont="1" applyFill="1" applyBorder="1" applyAlignment="1" applyProtection="1">
      <alignment horizontal="right"/>
      <protection/>
    </xf>
    <xf numFmtId="2" fontId="2" fillId="6" borderId="73" xfId="0" applyNumberFormat="1" applyFont="1" applyFill="1" applyBorder="1" applyAlignment="1" applyProtection="1">
      <alignment horizontal="right"/>
      <protection/>
    </xf>
    <xf numFmtId="0" fontId="30" fillId="8" borderId="0" xfId="0" applyFont="1" applyFill="1" applyBorder="1" applyAlignment="1" applyProtection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center" vertical="center" wrapText="1"/>
      <protection/>
    </xf>
    <xf numFmtId="2" fontId="2" fillId="8" borderId="0" xfId="0" applyNumberFormat="1" applyFont="1" applyFill="1" applyBorder="1" applyAlignment="1" applyProtection="1">
      <alignment horizontal="right"/>
      <protection/>
    </xf>
    <xf numFmtId="2" fontId="0" fillId="8" borderId="0" xfId="0" applyNumberFormat="1" applyFont="1" applyFill="1" applyBorder="1" applyAlignment="1" applyProtection="1">
      <alignment horizontal="right"/>
      <protection/>
    </xf>
    <xf numFmtId="172" fontId="2" fillId="8" borderId="0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Continuous" vertical="top"/>
      <protection/>
    </xf>
    <xf numFmtId="0" fontId="14" fillId="8" borderId="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horizontal="center" vertical="center" wrapText="1"/>
      <protection/>
    </xf>
    <xf numFmtId="2" fontId="23" fillId="8" borderId="0" xfId="0" applyNumberFormat="1" applyFont="1" applyFill="1" applyBorder="1" applyAlignment="1" applyProtection="1" quotePrefix="1">
      <alignment horizontal="right"/>
      <protection/>
    </xf>
    <xf numFmtId="2" fontId="57" fillId="8" borderId="0" xfId="0" applyNumberFormat="1" applyFont="1" applyFill="1" applyBorder="1" applyAlignment="1" applyProtection="1">
      <alignment horizontal="right"/>
      <protection/>
    </xf>
    <xf numFmtId="2" fontId="24" fillId="8" borderId="0" xfId="0" applyNumberFormat="1" applyFont="1" applyFill="1" applyBorder="1" applyAlignment="1" applyProtection="1">
      <alignment horizontal="right"/>
      <protection locked="0"/>
    </xf>
    <xf numFmtId="172" fontId="24" fillId="8" borderId="0" xfId="0" applyNumberFormat="1" applyFont="1" applyFill="1" applyBorder="1" applyAlignment="1" applyProtection="1">
      <alignment horizontal="right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7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65.4</c:v>
                </c:pt>
                <c:pt idx="2">
                  <c:v>48.766666666666666</c:v>
                </c:pt>
                <c:pt idx="4">
                  <c:v>56.983333333333334</c:v>
                </c:pt>
                <c:pt idx="5">
                  <c:v>57.18333333333332</c:v>
                </c:pt>
                <c:pt idx="7">
                  <c:v>56.18333333333334</c:v>
                </c:pt>
                <c:pt idx="8">
                  <c:v>57.98333333333333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B 1</c:v>
                </c:pt>
                <c:pt idx="2">
                  <c:v>B 2</c:v>
                </c:pt>
                <c:pt idx="4">
                  <c:v>S 1</c:v>
                </c:pt>
                <c:pt idx="5">
                  <c:v>S 2</c:v>
                </c:pt>
                <c:pt idx="7">
                  <c:v>C 1</c:v>
                </c:pt>
                <c:pt idx="8">
                  <c:v>C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57.083333333333336</c:v>
                </c:pt>
                <c:pt idx="1">
                  <c:v>57.083333333333336</c:v>
                </c:pt>
                <c:pt idx="2">
                  <c:v>57.083333333333336</c:v>
                </c:pt>
                <c:pt idx="3">
                  <c:v>57.083333333333336</c:v>
                </c:pt>
                <c:pt idx="4">
                  <c:v>57.083333333333336</c:v>
                </c:pt>
                <c:pt idx="5">
                  <c:v>57.083333333333336</c:v>
                </c:pt>
                <c:pt idx="6">
                  <c:v>57.083333333333336</c:v>
                </c:pt>
                <c:pt idx="7">
                  <c:v>57.083333333333336</c:v>
                </c:pt>
                <c:pt idx="8">
                  <c:v>57.083333333333336</c:v>
                </c:pt>
              </c:numCache>
            </c:numRef>
          </c:val>
          <c:smooth val="0"/>
        </c:ser>
        <c:marker val="1"/>
        <c:axId val="43274195"/>
        <c:axId val="53923436"/>
      </c:lineChart>
      <c:catAx>
        <c:axId val="43274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23436"/>
        <c:crosses val="autoZero"/>
        <c:auto val="0"/>
        <c:lblOffset val="100"/>
        <c:noMultiLvlLbl val="0"/>
      </c:catAx>
      <c:valAx>
        <c:axId val="5392343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Mean
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32741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Interaction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'Response Plots'!$G$35</c:f>
              <c:strCache>
                <c:ptCount val="1"/>
                <c:pt idx="0">
                  <c:v>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Plots'!$H$35:$I$35</c:f>
              <c:numCache>
                <c:ptCount val="2"/>
                <c:pt idx="0">
                  <c:v>65.4</c:v>
                </c:pt>
                <c:pt idx="1">
                  <c:v>56.983333333333334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'Response Plots'!$G$36</c:f>
              <c:strCache>
                <c:ptCount val="1"/>
                <c:pt idx="0">
                  <c:v>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Plots'!$H$34:$I$34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'Response Plots'!$H$36:$I$36</c:f>
              <c:numCache>
                <c:ptCount val="2"/>
                <c:pt idx="0">
                  <c:v>48.766666666666666</c:v>
                </c:pt>
                <c:pt idx="1">
                  <c:v>57.18333333333332</c:v>
                </c:pt>
              </c:numCache>
            </c:numRef>
          </c:val>
          <c:smooth val="0"/>
        </c:ser>
        <c:marker val="1"/>
        <c:axId val="15548877"/>
        <c:axId val="5722166"/>
      </c:lineChart>
      <c:catAx>
        <c:axId val="155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2166"/>
        <c:crosses val="autoZero"/>
        <c:auto val="1"/>
        <c:lblOffset val="100"/>
        <c:noMultiLvlLbl val="0"/>
      </c:catAx>
      <c:valAx>
        <c:axId val="572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</xdr:row>
      <xdr:rowOff>95250</xdr:rowOff>
    </xdr:from>
    <xdr:to>
      <xdr:col>11</xdr:col>
      <xdr:colOff>47625</xdr:colOff>
      <xdr:row>18</xdr:row>
      <xdr:rowOff>76200</xdr:rowOff>
    </xdr:to>
    <xdr:graphicFrame>
      <xdr:nvGraphicFramePr>
        <xdr:cNvPr id="2" name="Chart 8"/>
        <xdr:cNvGraphicFramePr/>
      </xdr:nvGraphicFramePr>
      <xdr:xfrm>
        <a:off x="2886075" y="295275"/>
        <a:ext cx="39338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zoomScale="150" zoomScaleNormal="150" workbookViewId="0" topLeftCell="B23">
      <pane xSplit="11445" topLeftCell="B2" activePane="topLeft" state="split"/>
      <selection pane="topLeft" activeCell="U31" sqref="U31"/>
      <selection pane="topRight" activeCell="P23" sqref="P23"/>
    </sheetView>
  </sheetViews>
  <sheetFormatPr defaultColWidth="9.140625" defaultRowHeight="12.75"/>
  <cols>
    <col min="1" max="1" width="7.00390625" style="2" customWidth="1"/>
    <col min="2" max="4" width="5.28125" style="2" customWidth="1"/>
    <col min="5" max="11" width="4.7109375" style="2" customWidth="1"/>
    <col min="12" max="12" width="7.421875" style="2" customWidth="1"/>
    <col min="13" max="16" width="4.7109375" style="2" customWidth="1"/>
    <col min="17" max="17" width="14.421875" style="2" customWidth="1"/>
    <col min="18" max="18" width="10.140625" style="2" customWidth="1"/>
    <col min="19" max="20" width="9.28125" style="2" customWidth="1"/>
    <col min="21" max="21" width="9.421875" style="2" customWidth="1"/>
    <col min="22" max="22" width="9.8515625" style="2" customWidth="1"/>
    <col min="23" max="24" width="4.7109375" style="2" customWidth="1"/>
    <col min="25" max="28" width="3.421875" style="2" customWidth="1"/>
    <col min="29" max="16384" width="8.8515625" style="2" customWidth="1"/>
  </cols>
  <sheetData>
    <row r="1" s="23" customFormat="1" ht="15.75">
      <c r="A1" s="286" t="s">
        <v>63</v>
      </c>
    </row>
    <row r="2" s="12" customFormat="1" ht="12.75">
      <c r="A2" s="252"/>
    </row>
    <row r="3" spans="1:29" s="58" customFormat="1" ht="14.25">
      <c r="A3" s="242" t="s">
        <v>0</v>
      </c>
      <c r="B3" s="242"/>
      <c r="C3" s="242"/>
      <c r="D3" s="242"/>
      <c r="E3" s="242"/>
      <c r="F3" s="242"/>
      <c r="G3" s="242"/>
      <c r="H3" s="242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7"/>
      <c r="Z3" s="7"/>
      <c r="AB3" s="2"/>
      <c r="AC3" s="2"/>
    </row>
    <row r="4" spans="1:29" s="22" customFormat="1" ht="14.25">
      <c r="A4" s="242" t="s">
        <v>1</v>
      </c>
      <c r="B4" s="242"/>
      <c r="C4" s="242"/>
      <c r="D4" s="242"/>
      <c r="E4" s="242"/>
      <c r="F4" s="242"/>
      <c r="G4" s="242"/>
      <c r="H4" s="242"/>
      <c r="I4" s="245"/>
      <c r="J4" s="242" t="s">
        <v>2</v>
      </c>
      <c r="K4" s="242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2"/>
      <c r="W4" s="242"/>
      <c r="X4" s="247"/>
      <c r="Y4" s="241"/>
      <c r="AB4" s="2"/>
      <c r="AC4" s="2"/>
    </row>
    <row r="5" spans="1:29" s="7" customFormat="1" ht="15">
      <c r="A5" s="242" t="s">
        <v>3</v>
      </c>
      <c r="B5" s="242"/>
      <c r="C5" s="242"/>
      <c r="D5" s="242"/>
      <c r="E5" s="242"/>
      <c r="F5" s="242"/>
      <c r="G5" s="242"/>
      <c r="H5" s="242"/>
      <c r="I5" s="243"/>
      <c r="J5" s="248" t="s">
        <v>4</v>
      </c>
      <c r="K5" s="243"/>
      <c r="L5" s="243"/>
      <c r="M5" s="243"/>
      <c r="N5" s="243"/>
      <c r="O5" s="243"/>
      <c r="P5" s="243"/>
      <c r="Q5" s="249"/>
      <c r="R5" s="243"/>
      <c r="S5" s="243"/>
      <c r="T5" s="243"/>
      <c r="U5" s="243"/>
      <c r="V5" s="243"/>
      <c r="W5" s="243"/>
      <c r="X5" s="244"/>
      <c r="AB5" s="2"/>
      <c r="AC5" s="2"/>
    </row>
    <row r="6" spans="1:29" s="12" customFormat="1" ht="13.5" thickBot="1">
      <c r="A6" s="74" t="s">
        <v>5</v>
      </c>
      <c r="B6" s="240">
        <v>1</v>
      </c>
      <c r="C6" s="240">
        <v>2</v>
      </c>
      <c r="D6" s="240">
        <v>3</v>
      </c>
      <c r="E6" s="240"/>
      <c r="F6" s="240"/>
      <c r="G6" s="240"/>
      <c r="H6" s="240"/>
      <c r="I6" s="20"/>
      <c r="J6" s="2"/>
      <c r="L6" s="2"/>
      <c r="M6" s="2"/>
      <c r="N6" s="2"/>
      <c r="O6" s="2"/>
      <c r="P6" s="58"/>
      <c r="Q6" s="2"/>
      <c r="R6" t="str">
        <f>IF(ISBLANK(B7),"",B7)</f>
        <v>B</v>
      </c>
      <c r="S6" t="str">
        <f>IF(ISBLANK(C7),"",C7)</f>
        <v>S</v>
      </c>
      <c r="T6" t="str">
        <f>IF(ISBLANK(D7),"",D7)</f>
        <v>C</v>
      </c>
      <c r="U6">
        <f>IF(ISBLANK(H7),"",H7)</f>
      </c>
      <c r="V6" s="2"/>
      <c r="AB6" s="2"/>
      <c r="AC6" s="2"/>
    </row>
    <row r="7" spans="1:29" s="17" customFormat="1" ht="15.75" thickBot="1">
      <c r="A7" s="75" t="s">
        <v>6</v>
      </c>
      <c r="B7" s="352" t="s">
        <v>58</v>
      </c>
      <c r="C7" s="94" t="s">
        <v>73</v>
      </c>
      <c r="D7" s="353" t="s">
        <v>59</v>
      </c>
      <c r="E7" s="342"/>
      <c r="F7" s="343"/>
      <c r="G7" s="343"/>
      <c r="H7" s="342"/>
      <c r="I7" s="69"/>
      <c r="J7" s="2"/>
      <c r="L7" s="2"/>
      <c r="M7" s="2"/>
      <c r="N7" s="2"/>
      <c r="O7" s="2"/>
      <c r="P7" s="81"/>
      <c r="Q7" s="100" t="s">
        <v>7</v>
      </c>
      <c r="R7" s="85">
        <v>1</v>
      </c>
      <c r="S7" s="85">
        <v>1</v>
      </c>
      <c r="T7" s="85">
        <v>1</v>
      </c>
      <c r="U7" s="348"/>
      <c r="V7" s="2"/>
      <c r="AB7" s="2"/>
      <c r="AC7" s="2"/>
    </row>
    <row r="8" spans="1:29" s="17" customFormat="1" ht="12.75">
      <c r="A8" s="239" t="s">
        <v>8</v>
      </c>
      <c r="B8" s="76" t="s">
        <v>71</v>
      </c>
      <c r="C8" s="77" t="s">
        <v>15</v>
      </c>
      <c r="D8" s="354" t="s">
        <v>15</v>
      </c>
      <c r="E8" s="344"/>
      <c r="F8" s="345"/>
      <c r="G8" s="345"/>
      <c r="H8" s="344"/>
      <c r="J8" s="2"/>
      <c r="L8" s="2"/>
      <c r="M8" s="2"/>
      <c r="N8" s="2"/>
      <c r="O8" s="2"/>
      <c r="P8" s="82"/>
      <c r="Q8" s="100" t="s">
        <v>9</v>
      </c>
      <c r="R8" s="198" t="str">
        <f>IF(R7="","",IF(R7=1,'Experimental Plan and Data'!B8,IF(R7=2,'Experimental Plan and Data'!B9,"")))</f>
        <v>P</v>
      </c>
      <c r="S8" s="198" t="str">
        <f>IF(S7="","",IF(S7=1,'Experimental Plan and Data'!C8,IF(S7=2,'Experimental Plan and Data'!C9,"")))</f>
        <v>1</v>
      </c>
      <c r="T8" s="198" t="str">
        <f>IF(T7="","",IF(T7=1,'Experimental Plan and Data'!D8,IF(T7=2,'Experimental Plan and Data'!D9,"")))</f>
        <v>1</v>
      </c>
      <c r="U8" s="349"/>
      <c r="V8" s="2"/>
      <c r="AB8" s="2"/>
      <c r="AC8" s="2"/>
    </row>
    <row r="9" spans="1:29" s="17" customFormat="1" ht="13.5" thickBot="1">
      <c r="A9" s="239" t="s">
        <v>10</v>
      </c>
      <c r="B9" s="78" t="s">
        <v>72</v>
      </c>
      <c r="C9" s="79" t="s">
        <v>16</v>
      </c>
      <c r="D9" s="355" t="s">
        <v>16</v>
      </c>
      <c r="E9" s="344"/>
      <c r="F9" s="345"/>
      <c r="G9" s="345"/>
      <c r="H9" s="344"/>
      <c r="R9" s="333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spans="15:25" ht="13.5" thickBot="1"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s="73" customFormat="1" ht="13.5" thickBot="1">
      <c r="A11" s="70"/>
      <c r="B11" s="71"/>
      <c r="C11" s="71"/>
      <c r="D11" s="71"/>
      <c r="E11" s="313"/>
      <c r="F11" s="65"/>
      <c r="G11" s="65"/>
      <c r="H11" s="314"/>
      <c r="I11" s="72"/>
      <c r="J11" s="435"/>
      <c r="K11" s="64"/>
      <c r="L11" s="64"/>
      <c r="M11" s="65"/>
      <c r="N11" s="66"/>
      <c r="O11" s="426"/>
      <c r="P11" s="426"/>
      <c r="Q11" s="426"/>
      <c r="R11" s="426"/>
      <c r="S11" s="427"/>
      <c r="T11" s="433"/>
      <c r="U11" s="428"/>
      <c r="V11" s="428"/>
      <c r="W11" s="426"/>
      <c r="X11" s="426"/>
      <c r="Y11" s="426"/>
    </row>
    <row r="12" spans="1:25" ht="16.5" thickBot="1">
      <c r="A12" s="55" t="s">
        <v>11</v>
      </c>
      <c r="B12" s="257" t="str">
        <f>IF(ISBLANK('Experimental Plan and Data'!B7),"c1",'Experimental Plan and Data'!B7)</f>
        <v>B</v>
      </c>
      <c r="C12" s="258" t="str">
        <f>IF(ISBLANK('Experimental Plan and Data'!C7),"c2",'Experimental Plan and Data'!C7)</f>
        <v>S</v>
      </c>
      <c r="D12" s="259" t="str">
        <f>IF(ISBLANK('Experimental Plan and Data'!D7),"c3",'Experimental Plan and Data'!D7)</f>
        <v>C</v>
      </c>
      <c r="E12" s="27"/>
      <c r="F12" s="28"/>
      <c r="G12" s="28"/>
      <c r="H12" s="277"/>
      <c r="I12" s="54"/>
      <c r="J12" s="434" t="s">
        <v>61</v>
      </c>
      <c r="K12" s="28"/>
      <c r="L12" s="28"/>
      <c r="M12" s="277"/>
      <c r="N12" s="29"/>
      <c r="O12" s="429"/>
      <c r="P12" s="429"/>
      <c r="Q12" s="429"/>
      <c r="R12" s="430"/>
      <c r="S12" s="431"/>
      <c r="T12" s="429"/>
      <c r="U12" s="429"/>
      <c r="V12" s="429"/>
      <c r="W12" s="430"/>
      <c r="X12" s="432"/>
      <c r="Y12" s="347"/>
    </row>
    <row r="13" spans="1:25" ht="12.75">
      <c r="A13" s="350">
        <v>1</v>
      </c>
      <c r="B13" s="42" t="str">
        <f>IF(ISBLANK('Experimental Plan and Data'!B$8),"1",'Experimental Plan and Data'!B$8)</f>
        <v>P</v>
      </c>
      <c r="C13" s="43" t="str">
        <f>IF(ISBLANK('Experimental Plan and Data'!C$8),"1",'Experimental Plan and Data'!C$8)</f>
        <v>1</v>
      </c>
      <c r="D13" s="44" t="str">
        <f>IF(ISBLANK('Experimental Plan and Data'!D$8),"1",'Experimental Plan and Data'!D$8)</f>
        <v>1</v>
      </c>
      <c r="E13" s="315">
        <v>64.7</v>
      </c>
      <c r="F13" s="316">
        <v>63.6</v>
      </c>
      <c r="G13" s="316">
        <v>64.9</v>
      </c>
      <c r="H13" s="317"/>
      <c r="I13" s="318"/>
      <c r="J13" s="319"/>
      <c r="K13" s="316"/>
      <c r="L13" s="316"/>
      <c r="M13" s="317"/>
      <c r="N13" s="320"/>
      <c r="O13" s="304"/>
      <c r="P13" s="304"/>
      <c r="Q13" s="304"/>
      <c r="R13" s="303"/>
      <c r="S13" s="303"/>
      <c r="T13" s="304"/>
      <c r="U13" s="304"/>
      <c r="V13" s="304"/>
      <c r="W13" s="303"/>
      <c r="X13" s="303"/>
      <c r="Y13" s="347"/>
    </row>
    <row r="14" spans="1:25" ht="12.75">
      <c r="A14" s="4">
        <v>2</v>
      </c>
      <c r="B14" s="45" t="str">
        <f>IF(ISBLANK('Experimental Plan and Data'!B$8),"1",'Experimental Plan and Data'!B$8)</f>
        <v>P</v>
      </c>
      <c r="C14" s="46" t="str">
        <f>IF(ISBLANK('Experimental Plan and Data'!C$9),"2",'Experimental Plan and Data'!C$9)</f>
        <v>2</v>
      </c>
      <c r="D14" s="47" t="str">
        <f>IF(ISBLANK('Experimental Plan and Data'!D$9),"2",'Experimental Plan and Data'!D$9)</f>
        <v>2</v>
      </c>
      <c r="E14" s="321">
        <v>66.3</v>
      </c>
      <c r="F14" s="322">
        <v>69.6</v>
      </c>
      <c r="G14" s="322">
        <v>63.3</v>
      </c>
      <c r="H14" s="323"/>
      <c r="I14" s="324"/>
      <c r="J14" s="325"/>
      <c r="K14" s="322"/>
      <c r="L14" s="322"/>
      <c r="M14" s="323"/>
      <c r="N14" s="326"/>
      <c r="O14" s="304"/>
      <c r="P14" s="304"/>
      <c r="Q14" s="304"/>
      <c r="R14" s="303"/>
      <c r="S14" s="303"/>
      <c r="T14" s="304"/>
      <c r="U14" s="304"/>
      <c r="V14" s="304"/>
      <c r="W14" s="303"/>
      <c r="X14" s="303"/>
      <c r="Y14" s="347"/>
    </row>
    <row r="15" spans="1:25" ht="12.75">
      <c r="A15" s="4">
        <v>3</v>
      </c>
      <c r="B15" s="45" t="str">
        <f>IF(ISBLANK('Experimental Plan and Data'!B$9),"2",'Experimental Plan and Data'!B$9)</f>
        <v>G</v>
      </c>
      <c r="C15" s="46" t="str">
        <f>IF(ISBLANK('Experimental Plan and Data'!C$8),"1",'Experimental Plan and Data'!C$8)</f>
        <v>1</v>
      </c>
      <c r="D15" s="47" t="str">
        <f>IF(ISBLANK('Experimental Plan and Data'!D$9),"2",'Experimental Plan and Data'!D$9)</f>
        <v>2</v>
      </c>
      <c r="E15" s="321">
        <v>50.8</v>
      </c>
      <c r="F15" s="322">
        <v>49.4</v>
      </c>
      <c r="G15" s="322">
        <v>48.5</v>
      </c>
      <c r="H15" s="323"/>
      <c r="I15" s="324"/>
      <c r="J15" s="325"/>
      <c r="K15" s="322"/>
      <c r="L15" s="322"/>
      <c r="M15" s="323"/>
      <c r="N15" s="326"/>
      <c r="O15" s="304"/>
      <c r="P15" s="304"/>
      <c r="Q15" s="304"/>
      <c r="R15" s="303"/>
      <c r="S15" s="303"/>
      <c r="T15" s="304"/>
      <c r="U15" s="304"/>
      <c r="V15" s="304"/>
      <c r="W15" s="303"/>
      <c r="X15" s="303"/>
      <c r="Y15" s="347"/>
    </row>
    <row r="16" spans="1:25" ht="13.5" thickBot="1">
      <c r="A16" s="3">
        <v>4</v>
      </c>
      <c r="B16" s="48" t="str">
        <f>IF(ISBLANK('Experimental Plan and Data'!B$9),"2",'Experimental Plan and Data'!B$9)</f>
        <v>G</v>
      </c>
      <c r="C16" s="49" t="str">
        <f>IF(ISBLANK('Experimental Plan and Data'!C$9),"2",'Experimental Plan and Data'!C$9)</f>
        <v>2</v>
      </c>
      <c r="D16" s="50" t="str">
        <f>IF(ISBLANK('Experimental Plan and Data'!D$8),"1",'Experimental Plan and Data'!D$8)</f>
        <v>1</v>
      </c>
      <c r="E16" s="327">
        <v>46.6</v>
      </c>
      <c r="F16" s="328">
        <v>49</v>
      </c>
      <c r="G16" s="328">
        <v>48.3</v>
      </c>
      <c r="H16" s="329"/>
      <c r="I16" s="330"/>
      <c r="J16" s="331"/>
      <c r="K16" s="328"/>
      <c r="L16" s="328"/>
      <c r="M16" s="329"/>
      <c r="N16" s="332"/>
      <c r="O16" s="304"/>
      <c r="P16" s="304"/>
      <c r="Q16" s="304"/>
      <c r="R16" s="303"/>
      <c r="S16" s="303"/>
      <c r="T16" s="304"/>
      <c r="U16" s="304"/>
      <c r="V16" s="304"/>
      <c r="W16" s="303"/>
      <c r="X16" s="303"/>
      <c r="Y16" s="347"/>
    </row>
    <row r="17" spans="1:29" ht="12.75">
      <c r="A17" s="21"/>
      <c r="B17" s="46"/>
      <c r="C17" s="46"/>
      <c r="D17" s="46"/>
      <c r="E17" s="46"/>
      <c r="F17" s="46"/>
      <c r="G17" s="46"/>
      <c r="H17" s="46"/>
      <c r="I17" s="304"/>
      <c r="J17" s="304"/>
      <c r="K17" s="304"/>
      <c r="L17" s="303"/>
      <c r="M17" s="303"/>
      <c r="N17" s="304"/>
      <c r="O17" s="304"/>
      <c r="P17" s="304"/>
      <c r="Q17" t="s">
        <v>77</v>
      </c>
      <c r="R17"/>
      <c r="S17"/>
      <c r="T17"/>
      <c r="U17"/>
      <c r="V17"/>
      <c r="W17"/>
      <c r="X17" s="304"/>
      <c r="Y17" s="304"/>
      <c r="Z17" s="304"/>
      <c r="AA17" s="303"/>
      <c r="AB17" s="303"/>
      <c r="AC17" s="347"/>
    </row>
    <row r="18" spans="1:29" ht="12.75">
      <c r="A18" s="21"/>
      <c r="B18" s="46"/>
      <c r="C18" s="46"/>
      <c r="D18" s="46"/>
      <c r="E18" s="46"/>
      <c r="F18" s="46"/>
      <c r="G18" s="46"/>
      <c r="H18" s="46"/>
      <c r="I18" s="304"/>
      <c r="J18" s="304"/>
      <c r="K18" s="304"/>
      <c r="L18" s="303"/>
      <c r="M18" s="303"/>
      <c r="N18" s="304"/>
      <c r="O18" s="304"/>
      <c r="P18" s="304"/>
      <c r="Q18"/>
      <c r="R18"/>
      <c r="S18"/>
      <c r="T18"/>
      <c r="U18"/>
      <c r="V18"/>
      <c r="W18"/>
      <c r="X18" s="304"/>
      <c r="Y18" s="304"/>
      <c r="Z18" s="304"/>
      <c r="AA18" s="303"/>
      <c r="AB18" s="303"/>
      <c r="AC18" s="347"/>
    </row>
    <row r="19" spans="1:29" ht="13.5" thickBot="1">
      <c r="A19" s="21"/>
      <c r="B19" s="46"/>
      <c r="C19" s="46"/>
      <c r="D19" s="46"/>
      <c r="E19" s="46"/>
      <c r="F19" s="46"/>
      <c r="G19" s="46"/>
      <c r="H19" s="46"/>
      <c r="I19" s="304"/>
      <c r="J19" s="304"/>
      <c r="K19" s="304"/>
      <c r="L19" s="303"/>
      <c r="M19" s="303"/>
      <c r="N19" s="304"/>
      <c r="O19" s="304"/>
      <c r="P19" s="304"/>
      <c r="Q19" t="s">
        <v>52</v>
      </c>
      <c r="R19"/>
      <c r="S19"/>
      <c r="T19"/>
      <c r="U19"/>
      <c r="V19"/>
      <c r="W19"/>
      <c r="X19" s="304"/>
      <c r="Y19" s="304"/>
      <c r="Z19" s="304"/>
      <c r="AA19" s="303"/>
      <c r="AB19" s="303"/>
      <c r="AC19" s="347"/>
    </row>
    <row r="20" spans="1:29" ht="12.75">
      <c r="A20" s="21"/>
      <c r="B20" s="46"/>
      <c r="C20" s="46"/>
      <c r="D20" s="46"/>
      <c r="E20" s="2">
        <f>(E24-$K$24)^2</f>
        <v>4.1344444444444655</v>
      </c>
      <c r="F20" s="46"/>
      <c r="G20" s="46"/>
      <c r="H20" s="46"/>
      <c r="I20" s="304"/>
      <c r="J20" s="304"/>
      <c r="K20" s="304"/>
      <c r="L20" s="303"/>
      <c r="M20" s="303"/>
      <c r="N20" s="304"/>
      <c r="O20" s="304"/>
      <c r="P20" s="304"/>
      <c r="Q20" s="474" t="s">
        <v>78</v>
      </c>
      <c r="R20" s="474" t="s">
        <v>79</v>
      </c>
      <c r="S20" s="474" t="s">
        <v>80</v>
      </c>
      <c r="T20" s="474" t="s">
        <v>81</v>
      </c>
      <c r="U20" s="474" t="s">
        <v>82</v>
      </c>
      <c r="V20"/>
      <c r="W20"/>
      <c r="X20" s="304"/>
      <c r="Y20" s="304"/>
      <c r="Z20" s="304"/>
      <c r="AA20" s="303"/>
      <c r="AB20" s="303"/>
      <c r="AC20" s="347"/>
    </row>
    <row r="21" spans="1:29" ht="12.75">
      <c r="A21" s="347"/>
      <c r="B21" s="347"/>
      <c r="C21" s="347"/>
      <c r="D21" s="347"/>
      <c r="E21" s="2" t="s">
        <v>74</v>
      </c>
      <c r="J21" s="347"/>
      <c r="K21" s="347"/>
      <c r="L21" s="347"/>
      <c r="M21" s="347"/>
      <c r="N21" s="347"/>
      <c r="O21" s="347"/>
      <c r="P21" s="347"/>
      <c r="Q21" s="472" t="s">
        <v>83</v>
      </c>
      <c r="R21" s="472">
        <v>6</v>
      </c>
      <c r="S21" s="472">
        <v>341.9</v>
      </c>
      <c r="T21" s="472">
        <v>56.98333333333333</v>
      </c>
      <c r="U21" s="472">
        <v>66.74166666666716</v>
      </c>
      <c r="V21"/>
      <c r="W21"/>
      <c r="X21" s="347"/>
      <c r="Y21" s="347"/>
      <c r="Z21" s="347"/>
      <c r="AA21" s="347"/>
      <c r="AB21" s="347"/>
      <c r="AC21" s="347"/>
    </row>
    <row r="22" spans="1:29" ht="13.5" thickBot="1">
      <c r="A22" s="347"/>
      <c r="B22" s="347"/>
      <c r="C22" s="347"/>
      <c r="D22" s="347"/>
      <c r="K22" s="347" t="s">
        <v>96</v>
      </c>
      <c r="L22" s="347"/>
      <c r="M22" s="347"/>
      <c r="N22" s="347"/>
      <c r="O22" s="347"/>
      <c r="P22" s="347"/>
      <c r="Q22" s="473" t="s">
        <v>84</v>
      </c>
      <c r="R22" s="473">
        <v>6</v>
      </c>
      <c r="S22" s="473">
        <v>343.1</v>
      </c>
      <c r="T22" s="473">
        <v>57.18333333333333</v>
      </c>
      <c r="U22" s="473">
        <v>106.51766666666663</v>
      </c>
      <c r="V22"/>
      <c r="W22"/>
      <c r="X22" s="347"/>
      <c r="Y22" s="347"/>
      <c r="Z22" s="347"/>
      <c r="AA22" s="347"/>
      <c r="AB22" s="347"/>
      <c r="AC22" s="347"/>
    </row>
    <row r="23" spans="5:23" ht="12.75">
      <c r="E23" s="2">
        <v>64.7</v>
      </c>
      <c r="F23" s="2">
        <v>63.6</v>
      </c>
      <c r="G23" s="2">
        <v>64.9</v>
      </c>
      <c r="H23" s="2">
        <v>66.3</v>
      </c>
      <c r="I23" s="2">
        <v>69.6</v>
      </c>
      <c r="J23" s="2">
        <v>63.3</v>
      </c>
      <c r="K23" s="2">
        <f>AVERAGE(E23:J23)</f>
        <v>65.4</v>
      </c>
      <c r="Q23"/>
      <c r="R23"/>
      <c r="S23"/>
      <c r="T23"/>
      <c r="U23"/>
      <c r="V23"/>
      <c r="W23"/>
    </row>
    <row r="24" spans="5:23" ht="12.75">
      <c r="E24" s="2">
        <v>50.8</v>
      </c>
      <c r="F24" s="2">
        <v>49.4</v>
      </c>
      <c r="G24" s="2">
        <v>48.5</v>
      </c>
      <c r="H24" s="2">
        <v>46.6</v>
      </c>
      <c r="I24" s="2">
        <v>49</v>
      </c>
      <c r="J24" s="2">
        <v>48.3</v>
      </c>
      <c r="K24" s="2">
        <f>AVERAGE(E24:J24)</f>
        <v>48.76666666666666</v>
      </c>
      <c r="Q24"/>
      <c r="R24"/>
      <c r="S24"/>
      <c r="T24"/>
      <c r="U24"/>
      <c r="V24"/>
      <c r="W24"/>
    </row>
    <row r="25" spans="5:23" ht="13.5" thickBot="1">
      <c r="E25" s="2">
        <f>(E23-$K23)^2</f>
        <v>0.490000000000004</v>
      </c>
      <c r="F25" s="2">
        <f aca="true" t="shared" si="0" ref="F25:J26">(F23-$K23)^2</f>
        <v>3.2400000000000153</v>
      </c>
      <c r="G25" s="2">
        <f t="shared" si="0"/>
        <v>0.25</v>
      </c>
      <c r="H25" s="2">
        <f t="shared" si="0"/>
        <v>0.8099999999999846</v>
      </c>
      <c r="I25" s="2">
        <f t="shared" si="0"/>
        <v>17.639999999999905</v>
      </c>
      <c r="J25" s="2">
        <f t="shared" si="0"/>
        <v>4.410000000000036</v>
      </c>
      <c r="K25" s="2">
        <f>SUM(E25:J25)</f>
        <v>26.839999999999943</v>
      </c>
      <c r="Q25" t="s">
        <v>85</v>
      </c>
      <c r="R25"/>
      <c r="S25"/>
      <c r="T25"/>
      <c r="U25"/>
      <c r="V25"/>
      <c r="W25"/>
    </row>
    <row r="26" spans="5:23" ht="12.75">
      <c r="E26" s="2">
        <f>(E24-$K24)^2</f>
        <v>4.1344444444444655</v>
      </c>
      <c r="F26" s="2">
        <f t="shared" si="0"/>
        <v>0.4011111111111195</v>
      </c>
      <c r="G26" s="2">
        <f t="shared" si="0"/>
        <v>0.07111111111110682</v>
      </c>
      <c r="H26" s="2">
        <f t="shared" si="0"/>
        <v>4.694444444444404</v>
      </c>
      <c r="I26" s="2">
        <f t="shared" si="0"/>
        <v>0.0544444444444482</v>
      </c>
      <c r="J26" s="2">
        <f t="shared" si="0"/>
        <v>0.2177777777777729</v>
      </c>
      <c r="K26" s="2">
        <f>SUM(E26:J26)</f>
        <v>9.573333333333316</v>
      </c>
      <c r="Q26" s="474" t="s">
        <v>86</v>
      </c>
      <c r="R26" s="474" t="s">
        <v>87</v>
      </c>
      <c r="S26" s="474" t="s">
        <v>88</v>
      </c>
      <c r="T26" s="474" t="s">
        <v>89</v>
      </c>
      <c r="U26" s="474" t="s">
        <v>90</v>
      </c>
      <c r="V26" s="474" t="s">
        <v>91</v>
      </c>
      <c r="W26" s="474" t="s">
        <v>92</v>
      </c>
    </row>
    <row r="27" spans="5:23" ht="12.75">
      <c r="E27" s="2" t="s">
        <v>75</v>
      </c>
      <c r="Q27" s="472" t="s">
        <v>93</v>
      </c>
      <c r="R27" s="472">
        <v>0.11999999998806743</v>
      </c>
      <c r="S27" s="472">
        <v>1</v>
      </c>
      <c r="T27" s="472">
        <v>0.11999999998806743</v>
      </c>
      <c r="U27" s="472">
        <v>0.0013852067612103564</v>
      </c>
      <c r="V27" s="472">
        <v>0.971043397116658</v>
      </c>
      <c r="W27" s="472">
        <v>4.96459051646525</v>
      </c>
    </row>
    <row r="28" spans="17:23" ht="12.75">
      <c r="Q28" s="472" t="s">
        <v>94</v>
      </c>
      <c r="R28" s="472">
        <v>866.2966666666762</v>
      </c>
      <c r="S28" s="472">
        <v>10</v>
      </c>
      <c r="T28" s="472">
        <v>86.62966666666762</v>
      </c>
      <c r="U28" s="472"/>
      <c r="V28" s="472"/>
      <c r="W28" s="472"/>
    </row>
    <row r="29" spans="5:23" ht="12.75">
      <c r="E29" s="2">
        <v>64.7</v>
      </c>
      <c r="F29" s="2">
        <v>63.6</v>
      </c>
      <c r="G29" s="2">
        <v>64.9</v>
      </c>
      <c r="H29" s="2">
        <v>50.8</v>
      </c>
      <c r="I29" s="2">
        <v>49.4</v>
      </c>
      <c r="J29" s="2">
        <v>48.5</v>
      </c>
      <c r="Q29" s="472"/>
      <c r="R29" s="472"/>
      <c r="S29" s="472"/>
      <c r="T29" s="472"/>
      <c r="U29" s="472"/>
      <c r="V29" s="472"/>
      <c r="W29" s="472"/>
    </row>
    <row r="30" spans="5:23" ht="13.5" thickBot="1">
      <c r="E30" s="2">
        <v>66.3</v>
      </c>
      <c r="F30" s="2">
        <v>69.6</v>
      </c>
      <c r="G30" s="2">
        <v>63.3</v>
      </c>
      <c r="H30" s="2">
        <v>46.6</v>
      </c>
      <c r="I30" s="2">
        <v>49</v>
      </c>
      <c r="J30" s="2">
        <v>48.3</v>
      </c>
      <c r="Q30" s="473" t="s">
        <v>95</v>
      </c>
      <c r="R30" s="473">
        <v>866.4166666666642</v>
      </c>
      <c r="S30" s="473">
        <v>11</v>
      </c>
      <c r="T30" s="473"/>
      <c r="U30" s="473"/>
      <c r="V30" s="473"/>
      <c r="W30" s="473"/>
    </row>
    <row r="31" spans="17:23" ht="12.75">
      <c r="Q31" s="472" t="s">
        <v>93</v>
      </c>
      <c r="R31" s="472">
        <v>15.786666666659585</v>
      </c>
      <c r="S31" s="472">
        <v>5</v>
      </c>
      <c r="T31" s="472">
        <v>3.157333333331917</v>
      </c>
      <c r="U31" s="472">
        <v>0.022270552414082972</v>
      </c>
      <c r="V31" s="472">
        <v>0.9996562143788802</v>
      </c>
      <c r="W31" s="472">
        <v>4.387374019643175</v>
      </c>
    </row>
    <row r="32" spans="17:23" ht="12.75">
      <c r="Q32" s="472" t="s">
        <v>94</v>
      </c>
      <c r="R32" s="472">
        <v>850.6300000000047</v>
      </c>
      <c r="S32" s="472">
        <v>6</v>
      </c>
      <c r="T32" s="472">
        <v>141.77166666666744</v>
      </c>
      <c r="U32" s="472"/>
      <c r="V32" s="472"/>
      <c r="W32" s="472"/>
    </row>
    <row r="33" spans="5:23" ht="12.75">
      <c r="E33" s="2" t="s">
        <v>76</v>
      </c>
      <c r="Q33" s="472"/>
      <c r="R33" s="472"/>
      <c r="S33" s="472"/>
      <c r="T33" s="472"/>
      <c r="U33" s="472"/>
      <c r="V33" s="472"/>
      <c r="W33" s="472"/>
    </row>
    <row r="34" spans="17:23" ht="13.5" thickBot="1">
      <c r="Q34" s="473" t="s">
        <v>95</v>
      </c>
      <c r="R34" s="473">
        <v>866.4166666666642</v>
      </c>
      <c r="S34" s="473">
        <v>11</v>
      </c>
      <c r="T34" s="473"/>
      <c r="U34" s="473"/>
      <c r="V34" s="473"/>
      <c r="W34" s="473"/>
    </row>
    <row r="35" spans="5:10" ht="12.75">
      <c r="E35" s="2">
        <v>64.7</v>
      </c>
      <c r="F35" s="2">
        <v>63.6</v>
      </c>
      <c r="G35" s="2">
        <v>64.9</v>
      </c>
      <c r="H35" s="2">
        <v>46.6</v>
      </c>
      <c r="I35" s="2">
        <v>49</v>
      </c>
      <c r="J35" s="2">
        <v>48.3</v>
      </c>
    </row>
    <row r="36" spans="5:10" ht="12.75">
      <c r="E36" s="2">
        <v>66.3</v>
      </c>
      <c r="F36" s="2">
        <v>69.6</v>
      </c>
      <c r="G36" s="2">
        <v>63.3</v>
      </c>
      <c r="H36" s="2">
        <v>50.8</v>
      </c>
      <c r="I36" s="2">
        <v>49.4</v>
      </c>
      <c r="J36" s="2">
        <v>48.5</v>
      </c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O23" sqref="O23"/>
    </sheetView>
  </sheetViews>
  <sheetFormatPr defaultColWidth="9.140625" defaultRowHeight="12.75"/>
  <cols>
    <col min="1" max="1" width="7.7109375" style="2" customWidth="1"/>
    <col min="2" max="2" width="4.8515625" style="2" customWidth="1"/>
    <col min="3" max="9" width="3.7109375" style="51" customWidth="1"/>
    <col min="10" max="12" width="3.7109375" style="2" customWidth="1"/>
    <col min="13" max="13" width="7.140625" style="2" customWidth="1"/>
    <col min="14" max="14" width="6.8515625" style="2" customWidth="1"/>
    <col min="15" max="15" width="10.28125" style="2" customWidth="1"/>
    <col min="16" max="22" width="3.7109375" style="2" customWidth="1"/>
    <col min="23" max="23" width="6.8515625" style="2" customWidth="1"/>
    <col min="24" max="24" width="7.7109375" style="2" customWidth="1"/>
    <col min="25" max="25" width="8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2" customFormat="1" ht="15.75">
      <c r="A1" s="286" t="s">
        <v>63</v>
      </c>
      <c r="B1" s="2"/>
      <c r="C1" s="238"/>
      <c r="D1" s="238"/>
      <c r="E1" s="238"/>
      <c r="F1" s="238"/>
      <c r="G1" s="238"/>
      <c r="H1" s="238"/>
      <c r="I1" s="238"/>
    </row>
    <row r="2" spans="2:25" ht="13.5" thickBot="1">
      <c r="B2" s="14"/>
      <c r="D2" s="52"/>
      <c r="G2" s="52"/>
      <c r="H2" s="52"/>
      <c r="I2" s="53"/>
      <c r="M2" s="15"/>
      <c r="Y2" s="250"/>
    </row>
    <row r="3" spans="2:25" ht="13.5" thickBot="1">
      <c r="B3" s="14"/>
      <c r="C3" s="307"/>
      <c r="D3" s="148"/>
      <c r="E3" s="148"/>
      <c r="F3" s="308"/>
      <c r="G3" s="67"/>
      <c r="H3" s="62">
        <f>IF(ISBLANK('Experimental Plan and Data'!J11),"",'Experimental Plan and Data'!J11)</f>
      </c>
      <c r="I3" s="63"/>
      <c r="J3" s="64"/>
      <c r="K3" s="148"/>
      <c r="L3" s="149"/>
      <c r="N3" s="312" t="s">
        <v>65</v>
      </c>
      <c r="O3" s="312" t="s">
        <v>65</v>
      </c>
      <c r="P3" s="70"/>
      <c r="Q3" s="437"/>
      <c r="R3" s="438"/>
      <c r="S3" s="439"/>
      <c r="T3" s="440"/>
      <c r="U3" s="70"/>
      <c r="V3" s="462"/>
      <c r="W3" s="378"/>
      <c r="X3" s="463"/>
      <c r="Y3" s="463"/>
    </row>
    <row r="4" spans="2:25" ht="14.25" thickBot="1">
      <c r="B4" s="55" t="s">
        <v>11</v>
      </c>
      <c r="C4" s="232" t="s">
        <v>60</v>
      </c>
      <c r="D4" s="233"/>
      <c r="E4" s="233"/>
      <c r="F4" s="309"/>
      <c r="G4" s="234"/>
      <c r="H4" s="436" t="s">
        <v>61</v>
      </c>
      <c r="I4" s="233"/>
      <c r="J4" s="233"/>
      <c r="K4" s="309"/>
      <c r="L4" s="235"/>
      <c r="M4" s="471" t="s">
        <v>64</v>
      </c>
      <c r="N4" s="16" t="s">
        <v>12</v>
      </c>
      <c r="O4" s="11" t="s">
        <v>13</v>
      </c>
      <c r="P4" s="442"/>
      <c r="Q4" s="443"/>
      <c r="R4" s="441"/>
      <c r="S4" s="441"/>
      <c r="T4" s="441"/>
      <c r="U4" s="442"/>
      <c r="V4" s="464"/>
      <c r="W4" s="465"/>
      <c r="X4" s="465"/>
      <c r="Y4" s="466"/>
    </row>
    <row r="5" spans="2:25" s="58" customFormat="1" ht="12.75">
      <c r="B5" s="196">
        <v>1</v>
      </c>
      <c r="C5" s="340">
        <f>IF('Experimental Plan and Data'!E13="","",'Experimental Plan and Data'!E13)</f>
        <v>64.7</v>
      </c>
      <c r="D5" s="341">
        <f>IF('Experimental Plan and Data'!F13="","",'Experimental Plan and Data'!F13)</f>
        <v>63.6</v>
      </c>
      <c r="E5" s="341">
        <f>IF('Experimental Plan and Data'!G13="","",'Experimental Plan and Data'!G13)</f>
        <v>64.9</v>
      </c>
      <c r="F5" s="341">
        <f>IF('Experimental Plan and Data'!H13="","",'Experimental Plan and Data'!H13)</f>
      </c>
      <c r="G5" s="341">
        <f>IF('Experimental Plan and Data'!I13="","",'Experimental Plan and Data'!I13)</f>
      </c>
      <c r="H5" s="341">
        <f>IF('Experimental Plan and Data'!J13="","",'Experimental Plan and Data'!J13)</f>
      </c>
      <c r="I5" s="341">
        <f>IF('Experimental Plan and Data'!K13="","",'Experimental Plan and Data'!K13)</f>
      </c>
      <c r="J5" s="341">
        <f>IF('Experimental Plan and Data'!L13="","",'Experimental Plan and Data'!L13)</f>
      </c>
      <c r="K5" s="341">
        <f>IF('Experimental Plan and Data'!M13="","",'Experimental Plan and Data'!M13)</f>
      </c>
      <c r="L5" s="366">
        <f>IF('Experimental Plan and Data'!N13="","",'Experimental Plan and Data'!N13)</f>
      </c>
      <c r="M5" s="387">
        <f>AVERAGE($C5:$L5)</f>
        <v>64.4</v>
      </c>
      <c r="N5" s="391">
        <f>VAR(C5:L5)</f>
        <v>0.4899999999997817</v>
      </c>
      <c r="O5" s="131">
        <f>10*LOG(M5^2/N5)</f>
        <v>39.27575654691304</v>
      </c>
      <c r="P5" s="365"/>
      <c r="Q5" s="365"/>
      <c r="R5" s="365"/>
      <c r="S5" s="365"/>
      <c r="T5" s="365"/>
      <c r="U5" s="365"/>
      <c r="V5" s="467"/>
      <c r="W5" s="468"/>
      <c r="X5" s="351"/>
      <c r="Y5" s="453"/>
    </row>
    <row r="6" spans="2:25" s="59" customFormat="1" ht="12">
      <c r="B6" s="236">
        <v>2</v>
      </c>
      <c r="C6" s="367">
        <f>IF('Experimental Plan and Data'!E14="","",'Experimental Plan and Data'!E14)</f>
        <v>66.3</v>
      </c>
      <c r="D6" s="368">
        <f>IF('Experimental Plan and Data'!F14="","",'Experimental Plan and Data'!F14)</f>
        <v>69.6</v>
      </c>
      <c r="E6" s="368">
        <f>IF('Experimental Plan and Data'!G14="","",'Experimental Plan and Data'!G14)</f>
        <v>63.3</v>
      </c>
      <c r="F6" s="368">
        <f>IF('Experimental Plan and Data'!H14="","",'Experimental Plan and Data'!H14)</f>
      </c>
      <c r="G6" s="368">
        <f>IF('Experimental Plan and Data'!I14="","",'Experimental Plan and Data'!I14)</f>
      </c>
      <c r="H6" s="368">
        <f>IF('Experimental Plan and Data'!J14="","",'Experimental Plan and Data'!J14)</f>
      </c>
      <c r="I6" s="368">
        <f>IF('Experimental Plan and Data'!K14="","",'Experimental Plan and Data'!K14)</f>
      </c>
      <c r="J6" s="368">
        <f>IF('Experimental Plan and Data'!L14="","",'Experimental Plan and Data'!L14)</f>
      </c>
      <c r="K6" s="368">
        <f>IF('Experimental Plan and Data'!M14="","",'Experimental Plan and Data'!M14)</f>
      </c>
      <c r="L6" s="369">
        <f>IF('Experimental Plan and Data'!N14="","",'Experimental Plan and Data'!N14)</f>
      </c>
      <c r="M6" s="387">
        <f>AVERAGE($C6:$L6)</f>
        <v>66.39999999999999</v>
      </c>
      <c r="N6" s="387">
        <f>IF(OR(ISBLANK(N$3),ISBLANK(N$5)),"",VAR($C6:$L6))</f>
        <v>9.930000000000291</v>
      </c>
      <c r="O6" s="389">
        <f>IF(OR(ISBLANK(O$3),ISBLANK(O$5)),"",10*LOG(M6^2/N6))</f>
        <v>26.47386910240641</v>
      </c>
      <c r="P6" s="365"/>
      <c r="Q6" s="365"/>
      <c r="R6" s="365"/>
      <c r="S6" s="365"/>
      <c r="T6" s="365"/>
      <c r="U6" s="365"/>
      <c r="V6" s="467"/>
      <c r="W6" s="469"/>
      <c r="X6" s="469"/>
      <c r="Y6" s="470"/>
    </row>
    <row r="7" spans="2:25" s="59" customFormat="1" ht="12">
      <c r="B7" s="236">
        <v>3</v>
      </c>
      <c r="C7" s="367">
        <f>IF('Experimental Plan and Data'!E15="","",'Experimental Plan and Data'!E15)</f>
        <v>50.8</v>
      </c>
      <c r="D7" s="368">
        <f>IF('Experimental Plan and Data'!F15="","",'Experimental Plan and Data'!F15)</f>
        <v>49.4</v>
      </c>
      <c r="E7" s="368">
        <f>IF('Experimental Plan and Data'!G15="","",'Experimental Plan and Data'!G15)</f>
        <v>48.5</v>
      </c>
      <c r="F7" s="368">
        <f>IF('Experimental Plan and Data'!H15="","",'Experimental Plan and Data'!H15)</f>
      </c>
      <c r="G7" s="368">
        <f>IF('Experimental Plan and Data'!I15="","",'Experimental Plan and Data'!I15)</f>
      </c>
      <c r="H7" s="368">
        <f>IF('Experimental Plan and Data'!J15="","",'Experimental Plan and Data'!J15)</f>
      </c>
      <c r="I7" s="368">
        <f>IF('Experimental Plan and Data'!K15="","",'Experimental Plan and Data'!K15)</f>
      </c>
      <c r="J7" s="368">
        <f>IF('Experimental Plan and Data'!L15="","",'Experimental Plan and Data'!L15)</f>
      </c>
      <c r="K7" s="368">
        <f>IF('Experimental Plan and Data'!M15="","",'Experimental Plan and Data'!M15)</f>
      </c>
      <c r="L7" s="369">
        <f>IF('Experimental Plan and Data'!N15="","",'Experimental Plan and Data'!N15)</f>
      </c>
      <c r="M7" s="387">
        <f>AVERAGE($C7:$L7)</f>
        <v>49.56666666666666</v>
      </c>
      <c r="N7" s="387">
        <f>IF(OR(ISBLANK(N$3),ISBLANK(N$5)),"",VAR($C7:$L7))</f>
        <v>1.343333333334158</v>
      </c>
      <c r="O7" s="389">
        <f>IF(OR(ISBLANK(O$3),ISBLANK(O$5)),"",10*LOG(M7^2/N7))</f>
        <v>32.6219563618287</v>
      </c>
      <c r="P7" s="365"/>
      <c r="Q7" s="365"/>
      <c r="R7" s="365"/>
      <c r="S7" s="365"/>
      <c r="T7" s="365"/>
      <c r="U7" s="365"/>
      <c r="V7" s="467"/>
      <c r="W7" s="469"/>
      <c r="X7" s="469"/>
      <c r="Y7" s="470"/>
    </row>
    <row r="8" spans="2:25" s="59" customFormat="1" ht="12.75" thickBot="1">
      <c r="B8" s="237">
        <v>4</v>
      </c>
      <c r="C8" s="370">
        <f>IF('Experimental Plan and Data'!E16="","",'Experimental Plan and Data'!E16)</f>
        <v>46.6</v>
      </c>
      <c r="D8" s="371">
        <f>IF('Experimental Plan and Data'!F16="","",'Experimental Plan and Data'!F16)</f>
        <v>49</v>
      </c>
      <c r="E8" s="371">
        <f>IF('Experimental Plan and Data'!G16="","",'Experimental Plan and Data'!G16)</f>
        <v>48.3</v>
      </c>
      <c r="F8" s="371">
        <f>IF('Experimental Plan and Data'!H16="","",'Experimental Plan and Data'!H16)</f>
      </c>
      <c r="G8" s="371">
        <f>IF('Experimental Plan and Data'!I16="","",'Experimental Plan and Data'!I16)</f>
      </c>
      <c r="H8" s="371">
        <f>IF('Experimental Plan and Data'!J16="","",'Experimental Plan and Data'!J16)</f>
      </c>
      <c r="I8" s="371">
        <f>IF('Experimental Plan and Data'!K16="","",'Experimental Plan and Data'!K16)</f>
      </c>
      <c r="J8" s="371">
        <f>IF('Experimental Plan and Data'!L16="","",'Experimental Plan and Data'!L16)</f>
      </c>
      <c r="K8" s="371">
        <f>IF('Experimental Plan and Data'!M16="","",'Experimental Plan and Data'!M16)</f>
      </c>
      <c r="L8" s="372">
        <f>IF('Experimental Plan and Data'!N16="","",'Experimental Plan and Data'!N16)</f>
      </c>
      <c r="M8" s="388">
        <f>AVERAGE($C8:$L8)</f>
        <v>47.96666666666666</v>
      </c>
      <c r="N8" s="388">
        <f>IF(OR(ISBLANK(N$3),ISBLANK(N$5)),"",VAR($C8:$L8))</f>
        <v>1.5233333333339942</v>
      </c>
      <c r="O8" s="390">
        <f>IF(OR(ISBLANK(O$3),ISBLANK(O$5)),"",10*LOG(M8^2/N8))</f>
        <v>31.790841330835093</v>
      </c>
      <c r="P8" s="365"/>
      <c r="Q8" s="365"/>
      <c r="R8" s="365"/>
      <c r="S8" s="365"/>
      <c r="T8" s="365"/>
      <c r="U8" s="365"/>
      <c r="V8" s="467"/>
      <c r="W8" s="469"/>
      <c r="X8" s="469"/>
      <c r="Y8" s="470"/>
    </row>
    <row r="9" spans="2:25" s="59" customFormat="1" ht="8.25">
      <c r="B9" s="356"/>
      <c r="C9" s="358"/>
      <c r="D9" s="358"/>
      <c r="E9" s="358"/>
      <c r="F9" s="359"/>
      <c r="G9" s="359"/>
      <c r="H9" s="358"/>
      <c r="I9" s="358"/>
      <c r="J9" s="358"/>
      <c r="K9" s="359"/>
      <c r="L9" s="359"/>
      <c r="M9" s="358"/>
      <c r="N9" s="358"/>
      <c r="O9" s="358"/>
      <c r="P9" s="359"/>
      <c r="Q9" s="359"/>
      <c r="R9" s="358"/>
      <c r="S9" s="358"/>
      <c r="T9" s="358"/>
      <c r="U9" s="359"/>
      <c r="V9" s="359"/>
      <c r="W9" s="360"/>
      <c r="X9" s="357"/>
      <c r="Y9" s="361"/>
    </row>
    <row r="10" spans="2:25" s="59" customFormat="1" ht="8.25">
      <c r="B10" s="356"/>
      <c r="C10" s="358"/>
      <c r="D10" s="358"/>
      <c r="E10" s="358"/>
      <c r="F10" s="359"/>
      <c r="G10" s="359"/>
      <c r="H10" s="358"/>
      <c r="I10" s="358"/>
      <c r="J10" s="358"/>
      <c r="K10" s="359"/>
      <c r="L10" s="359"/>
      <c r="M10" s="358"/>
      <c r="N10" s="358"/>
      <c r="O10" s="358"/>
      <c r="P10" s="359"/>
      <c r="Q10" s="359"/>
      <c r="R10" s="358"/>
      <c r="S10" s="358"/>
      <c r="T10" s="358"/>
      <c r="U10" s="359"/>
      <c r="V10" s="359"/>
      <c r="W10" s="360"/>
      <c r="X10" s="357"/>
      <c r="Y10" s="361"/>
    </row>
    <row r="11" spans="2:25" s="59" customFormat="1" ht="8.25">
      <c r="B11" s="356"/>
      <c r="C11" s="358"/>
      <c r="D11" s="358"/>
      <c r="E11" s="358"/>
      <c r="F11" s="359"/>
      <c r="G11" s="359"/>
      <c r="H11" s="358"/>
      <c r="I11" s="358"/>
      <c r="J11" s="358"/>
      <c r="K11" s="359"/>
      <c r="L11" s="359"/>
      <c r="M11" s="358"/>
      <c r="N11" s="358"/>
      <c r="O11" s="358"/>
      <c r="P11" s="359"/>
      <c r="Q11" s="359"/>
      <c r="R11" s="358"/>
      <c r="S11" s="358"/>
      <c r="T11" s="358"/>
      <c r="U11" s="359"/>
      <c r="V11" s="359"/>
      <c r="W11" s="360"/>
      <c r="X11" s="357"/>
      <c r="Y11" s="361"/>
    </row>
    <row r="12" spans="2:25" s="59" customFormat="1" ht="8.25">
      <c r="B12" s="356"/>
      <c r="C12" s="358"/>
      <c r="D12" s="358"/>
      <c r="E12" s="358"/>
      <c r="F12" s="359"/>
      <c r="G12" s="359"/>
      <c r="H12" s="358"/>
      <c r="I12" s="358"/>
      <c r="J12" s="358"/>
      <c r="K12" s="359"/>
      <c r="L12" s="359"/>
      <c r="M12" s="358"/>
      <c r="N12" s="358"/>
      <c r="O12" s="358"/>
      <c r="P12" s="359"/>
      <c r="Q12" s="359"/>
      <c r="R12" s="358"/>
      <c r="S12" s="358"/>
      <c r="T12" s="358"/>
      <c r="U12" s="359"/>
      <c r="V12" s="359"/>
      <c r="W12" s="360"/>
      <c r="X12" s="357"/>
      <c r="Y12" s="361"/>
    </row>
    <row r="13" spans="1:25" s="59" customFormat="1" ht="20.25" customHeight="1">
      <c r="A13" s="373"/>
      <c r="B13" s="231"/>
      <c r="C13" s="347"/>
      <c r="D13" s="310"/>
      <c r="E13" s="310"/>
      <c r="F13" s="311"/>
      <c r="G13" s="311"/>
      <c r="H13" s="310"/>
      <c r="I13" s="310"/>
      <c r="J13" s="310"/>
      <c r="K13" s="311"/>
      <c r="L13" s="311"/>
      <c r="M13" s="310"/>
      <c r="N13" s="310"/>
      <c r="O13" s="310"/>
      <c r="P13" s="311"/>
      <c r="Q13" s="311"/>
      <c r="R13" s="310"/>
      <c r="S13" s="310"/>
      <c r="T13" s="310"/>
      <c r="U13" s="311"/>
      <c r="V13" s="311"/>
      <c r="W13" s="392">
        <f>IF(ISBLANK(W5),"",IF(W5=(AVERAGE(C5:V5)),"","MEAN ERROR"))</f>
      </c>
      <c r="X13" s="392">
        <f>IF(ISBLANK(X5),"",IF(X5=(VAR(C5:V5)),"","VAR ERROR"))</f>
      </c>
      <c r="Y13" s="334">
        <f>IF(ISBLANK(Y5),"",IF(Y5=(10*LOG(W5^2/X5)),"","## S/N ERROR ##"))</f>
      </c>
    </row>
    <row r="14" spans="1:23" s="130" customFormat="1" ht="15">
      <c r="A14" s="374"/>
      <c r="B14" s="375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47"/>
    </row>
    <row r="15" spans="1:23" s="130" customFormat="1" ht="15">
      <c r="A15" s="374"/>
      <c r="B15" s="376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8"/>
    </row>
    <row r="16" spans="1:24" s="130" customFormat="1" ht="15.75">
      <c r="A16" s="374"/>
      <c r="B16" s="379"/>
      <c r="C16" s="380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0"/>
      <c r="S16" s="381"/>
      <c r="T16" s="381"/>
      <c r="U16" s="381"/>
      <c r="V16" s="381"/>
      <c r="W16" s="382"/>
      <c r="X16" s="335">
        <f>IF(OR(ISBLANK(C16),ISBLANK(R16)),"",IF(AND(C16=W5*C15,R16=W5*R15),"","## ERROR in C16 or R16 ##"))</f>
      </c>
    </row>
    <row r="17" spans="1:24" ht="15.75">
      <c r="A17" s="347"/>
      <c r="B17" s="376"/>
      <c r="C17" s="380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0"/>
      <c r="S17" s="381"/>
      <c r="T17" s="381"/>
      <c r="U17" s="381"/>
      <c r="V17" s="381"/>
      <c r="W17" s="382"/>
      <c r="X17" s="335">
        <f>IF(OR(ISBLANK(C17),ISBLANK(R17)),"",IF(AND(C17=(C14-C16),R17=(R14-R16)),"","## ERROR in C17 or R17 ##"))</f>
      </c>
    </row>
    <row r="18" spans="1:24" ht="15.75">
      <c r="A18" s="347"/>
      <c r="B18" s="376"/>
      <c r="C18" s="383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3"/>
      <c r="S18" s="384"/>
      <c r="T18" s="384"/>
      <c r="U18" s="384"/>
      <c r="V18" s="384"/>
      <c r="W18" s="382"/>
      <c r="X18" s="335">
        <f>IF(OR(ISBLANK(C18),ISBLANK(R18)),"",IF(AND(C18=C17^2,R18=R17^2),"","## ERROR in C18 or R18 ##"))</f>
      </c>
    </row>
    <row r="19" spans="2:23" ht="12.75">
      <c r="B19" s="385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B19" sqref="B19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6" customFormat="1" ht="15.75">
      <c r="A1" s="286" t="s">
        <v>63</v>
      </c>
    </row>
    <row r="2" spans="1:8" ht="13.5" thickBot="1">
      <c r="A2" s="14"/>
      <c r="C2" s="1"/>
      <c r="G2" s="1"/>
      <c r="H2" s="421"/>
    </row>
    <row r="3" spans="1:8" ht="24.75" customHeight="1" thickBot="1">
      <c r="A3" s="260" t="s">
        <v>14</v>
      </c>
      <c r="B3" s="261" t="str">
        <f>'Experimental Plan and Data'!B12</f>
        <v>B</v>
      </c>
      <c r="C3" s="262" t="str">
        <f>'Experimental Plan and Data'!C12</f>
        <v>S</v>
      </c>
      <c r="D3" s="262" t="str">
        <f>'Experimental Plan and Data'!D12</f>
        <v>C</v>
      </c>
      <c r="E3" s="263" t="s">
        <v>64</v>
      </c>
      <c r="F3" s="264" t="s">
        <v>13</v>
      </c>
      <c r="G3" s="393"/>
      <c r="H3" s="422"/>
    </row>
    <row r="4" spans="1:16" ht="12.75">
      <c r="A4" s="350">
        <v>1</v>
      </c>
      <c r="B4" s="394" t="s">
        <v>15</v>
      </c>
      <c r="C4" s="396" t="s">
        <v>15</v>
      </c>
      <c r="D4" s="399" t="s">
        <v>15</v>
      </c>
      <c r="E4" s="293">
        <f>'Calculating S|N'!M5</f>
        <v>64.4</v>
      </c>
      <c r="F4" s="294">
        <f>'Calculating S|N'!N5</f>
        <v>0.4899999999997817</v>
      </c>
      <c r="G4" s="88"/>
      <c r="H4" s="88"/>
      <c r="L4" s="295"/>
      <c r="M4" s="208"/>
      <c r="N4" s="209"/>
      <c r="P4" s="208"/>
    </row>
    <row r="5" spans="1:16" ht="12.75">
      <c r="A5" s="4">
        <v>2</v>
      </c>
      <c r="B5" s="346" t="s">
        <v>15</v>
      </c>
      <c r="C5" s="397" t="s">
        <v>16</v>
      </c>
      <c r="D5" s="400" t="s">
        <v>16</v>
      </c>
      <c r="E5" s="296">
        <f>'Calculating S|N'!M6</f>
        <v>66.39999999999999</v>
      </c>
      <c r="F5" s="297">
        <f>'Calculating S|N'!N6</f>
        <v>9.930000000000291</v>
      </c>
      <c r="G5" s="88"/>
      <c r="H5" s="88"/>
      <c r="L5" s="295"/>
      <c r="M5" s="208"/>
      <c r="N5" s="209"/>
      <c r="P5" s="208"/>
    </row>
    <row r="6" spans="1:16" ht="12.75">
      <c r="A6" s="4">
        <v>3</v>
      </c>
      <c r="B6" s="346" t="s">
        <v>16</v>
      </c>
      <c r="C6" s="397" t="s">
        <v>15</v>
      </c>
      <c r="D6" s="400" t="s">
        <v>16</v>
      </c>
      <c r="E6" s="296">
        <f>'Calculating S|N'!M7</f>
        <v>49.56666666666666</v>
      </c>
      <c r="F6" s="297">
        <f>'Calculating S|N'!N7</f>
        <v>1.343333333334158</v>
      </c>
      <c r="G6" s="88"/>
      <c r="H6" s="88"/>
      <c r="L6" s="295"/>
      <c r="M6" s="208"/>
      <c r="N6" s="209"/>
      <c r="P6" s="208"/>
    </row>
    <row r="7" spans="1:16" ht="13.5" thickBot="1">
      <c r="A7" s="3">
        <v>4</v>
      </c>
      <c r="B7" s="395" t="s">
        <v>16</v>
      </c>
      <c r="C7" s="398" t="s">
        <v>16</v>
      </c>
      <c r="D7" s="401" t="s">
        <v>15</v>
      </c>
      <c r="E7" s="298">
        <f>'Calculating S|N'!M8</f>
        <v>47.96666666666666</v>
      </c>
      <c r="F7" s="299">
        <f>'Calculating S|N'!N8</f>
        <v>1.5233333333339942</v>
      </c>
      <c r="G7" s="88"/>
      <c r="H7" s="88"/>
      <c r="L7" s="295"/>
      <c r="M7" s="208"/>
      <c r="N7" s="209"/>
      <c r="P7" s="208"/>
    </row>
    <row r="8" spans="1:16" ht="12.75">
      <c r="A8" s="21"/>
      <c r="B8" s="88"/>
      <c r="C8" s="88"/>
      <c r="D8" s="88"/>
      <c r="E8" s="362"/>
      <c r="F8" s="363"/>
      <c r="G8" s="88"/>
      <c r="H8" s="88"/>
      <c r="L8" s="295"/>
      <c r="M8" s="208"/>
      <c r="N8" s="209"/>
      <c r="P8" s="208"/>
    </row>
    <row r="9" spans="1:16" ht="12.75">
      <c r="A9" s="21"/>
      <c r="B9" s="88"/>
      <c r="C9" s="88"/>
      <c r="D9" s="88"/>
      <c r="E9" s="2" t="s">
        <v>17</v>
      </c>
      <c r="F9" s="363"/>
      <c r="G9" s="88"/>
      <c r="H9" s="88"/>
      <c r="L9" s="295"/>
      <c r="M9" s="208"/>
      <c r="N9" s="209"/>
      <c r="P9" s="208"/>
    </row>
    <row r="10" spans="1:16" ht="19.5">
      <c r="A10" s="21"/>
      <c r="B10" s="88"/>
      <c r="C10" s="88"/>
      <c r="D10" s="88"/>
      <c r="E10" s="132" t="s">
        <v>67</v>
      </c>
      <c r="F10" s="300" t="s">
        <v>18</v>
      </c>
      <c r="G10" s="88"/>
      <c r="H10" s="88"/>
      <c r="L10" s="295"/>
      <c r="M10" s="208"/>
      <c r="N10" s="209"/>
      <c r="P10" s="208"/>
    </row>
    <row r="11" spans="1:16" ht="12.75">
      <c r="A11" s="21"/>
      <c r="B11" s="88"/>
      <c r="C11" s="88"/>
      <c r="D11" s="88"/>
      <c r="E11" s="301">
        <f>AVERAGE(E4:E7)</f>
        <v>57.083333333333336</v>
      </c>
      <c r="F11" s="302">
        <f>AVERAGE(F4:F7)</f>
        <v>3.3216666666670562</v>
      </c>
      <c r="G11" s="88"/>
      <c r="H11" s="88"/>
      <c r="L11" s="295"/>
      <c r="M11" s="208"/>
      <c r="N11" s="209"/>
      <c r="P11" s="208"/>
    </row>
    <row r="12" spans="1:16" ht="12.75">
      <c r="A12" s="21"/>
      <c r="B12" s="88"/>
      <c r="C12" s="88"/>
      <c r="D12" s="88"/>
      <c r="P12" s="208"/>
    </row>
    <row r="13" spans="2:23" s="24" customFormat="1" ht="12.75">
      <c r="B13" s="404" t="s">
        <v>19</v>
      </c>
      <c r="C13" s="265"/>
      <c r="D13" s="265"/>
      <c r="G13" s="265"/>
      <c r="H13" s="265"/>
      <c r="K13" s="303"/>
      <c r="L13" s="304"/>
      <c r="M13" s="303"/>
      <c r="N13" s="303"/>
      <c r="O13" s="304"/>
      <c r="P13" s="303"/>
      <c r="Q13" s="303"/>
      <c r="R13" s="304"/>
      <c r="S13" s="303"/>
      <c r="T13" s="303"/>
      <c r="U13" s="303"/>
      <c r="V13" s="303"/>
      <c r="W13" s="303"/>
    </row>
    <row r="14" spans="1:18" s="90" customFormat="1" ht="13.5" thickBot="1">
      <c r="A14" s="89"/>
      <c r="B14" s="266" t="str">
        <f>B3</f>
        <v>B</v>
      </c>
      <c r="C14" s="266" t="str">
        <f>C3</f>
        <v>S</v>
      </c>
      <c r="D14" s="413" t="str">
        <f>D3</f>
        <v>C</v>
      </c>
      <c r="E14" s="266"/>
      <c r="F14" s="267"/>
      <c r="G14" s="267"/>
      <c r="H14" s="266"/>
      <c r="I14" s="305"/>
      <c r="L14" s="305"/>
      <c r="O14" s="305"/>
      <c r="R14" s="305"/>
    </row>
    <row r="15" spans="1:17" ht="12.75">
      <c r="A15" s="21" t="s">
        <v>20</v>
      </c>
      <c r="B15" s="133">
        <f>IF(OR(ISBLANK($E$15),ISBLANK($D15)),"",SUMIF(B$4:B$7,"1",$F$4:$F$7)/COUNTIF(B$4:B$7,"1"))</f>
        <v>5.210000000000036</v>
      </c>
      <c r="C15" s="134">
        <f>IF(OR(ISBLANK($E$15),ISBLANK($D15)),"",SUMIF(C$4:C$7,"1",$F$4:$F$9)/COUNTIF(C$4:C$7,"1"))</f>
        <v>0.9166666666669698</v>
      </c>
      <c r="D15" s="402">
        <f>AVERAGE(F4,F7)</f>
        <v>1.006666666666888</v>
      </c>
      <c r="E15" s="405" t="s">
        <v>65</v>
      </c>
      <c r="F15" s="406"/>
      <c r="G15" s="408"/>
      <c r="H15" s="409"/>
      <c r="I15" s="410"/>
      <c r="N15" s="24"/>
      <c r="O15" s="24"/>
      <c r="P15" s="24"/>
      <c r="Q15" s="24"/>
    </row>
    <row r="16" spans="1:9" ht="13.5" thickBot="1">
      <c r="A16" s="21" t="s">
        <v>21</v>
      </c>
      <c r="B16" s="135">
        <f>IF(OR(ISBLANK($E$15),ISBLANK($D16)),"",SUMIF(B$4:B$7,"2",$F$4:$F$9)/COUNTIF(B$4:B$7,"1"))</f>
        <v>1.433333333334076</v>
      </c>
      <c r="C16" s="136">
        <f>IF(OR(ISBLANK($E$15),ISBLANK($D16)),"",SUMIF(C$4:C$11,"2",$F$4:$F$9)/COUNTIF(C$4:C$11,"1"))</f>
        <v>5.726666666667143</v>
      </c>
      <c r="D16" s="403">
        <f>AVERAGE(F5,F6)</f>
        <v>5.6366666666672245</v>
      </c>
      <c r="E16" s="407"/>
      <c r="F16" s="406"/>
      <c r="G16" s="408"/>
      <c r="H16" s="409"/>
      <c r="I16" s="411">
        <f>IF(OR(ISBLANK(H15),ISBLANK(H16)),"",IF(AND(H15=AVERAGE(F4,F7,#REF!,#REF!),H16=AVERAGE(F5,F6,F8,F9)),"","## ERROR in H15 or H16 ##"))</f>
      </c>
    </row>
    <row r="17" spans="1:9" ht="14.25" thickBot="1" thickTop="1">
      <c r="A17" s="21" t="s">
        <v>22</v>
      </c>
      <c r="B17" s="137">
        <f>IF(OR(ISBLANK($E$15),ISBLANK($D16)),"",B16-B15)</f>
        <v>-3.7766666666659603</v>
      </c>
      <c r="C17" s="138">
        <f>IF(OR(ISBLANK($E$15),ISBLANK($D16)),"",C16-C15)</f>
        <v>4.810000000000173</v>
      </c>
      <c r="D17" s="139">
        <f>IF(OR(ISBLANK($E$15),ISBLANK($D16)),"",D16-D15)</f>
        <v>4.6300000000003365</v>
      </c>
      <c r="E17" s="407">
        <f>IF(OR(ISBLANK($I$15),ISBLANK($H16)),"",E15-E16)</f>
      </c>
      <c r="F17" s="406">
        <f>IF(OR(ISBLANK($I$15),ISBLANK($H16)),"",F15-F16)</f>
      </c>
      <c r="G17" s="408">
        <f>IF(OR(ISBLANK($I$15),ISBLANK($H16)),"",G15-G16)</f>
      </c>
      <c r="H17" s="408">
        <f>IF(OR(ISBLANK($I$15),ISBLANK($H16)),"",H15-H16)</f>
      </c>
      <c r="I17" s="412"/>
    </row>
    <row r="18" spans="2:9" ht="18" customHeight="1" thickBot="1">
      <c r="B18" s="404" t="s">
        <v>68</v>
      </c>
      <c r="C18" s="265"/>
      <c r="D18" s="265"/>
      <c r="E18" s="265"/>
      <c r="F18" s="265"/>
      <c r="G18" s="265"/>
      <c r="H18" s="265"/>
      <c r="I18" s="306"/>
    </row>
    <row r="19" spans="1:9" ht="12.75">
      <c r="A19" s="21" t="s">
        <v>20</v>
      </c>
      <c r="B19" s="140">
        <f>IF(OR(ISBLANK($E$19),ISBLANK($D19)),"",SUMIF(B$4:B$11,"1",$E$4:$E$9)/COUNTIF(B$4:B$11,"1"))</f>
        <v>65.4</v>
      </c>
      <c r="C19" s="141">
        <f>IF(OR(ISBLANK($E$19),ISBLANK($D19)),"",SUMIF(C$4:C$11,"1",$E$4:$E$9)/COUNTIF(C$4:C$11,"1"))</f>
        <v>56.983333333333334</v>
      </c>
      <c r="D19" s="419">
        <f>AVERAGE(E4,E7)</f>
        <v>56.18333333333334</v>
      </c>
      <c r="E19" s="414" t="s">
        <v>65</v>
      </c>
      <c r="F19" s="415">
        <f>IF(OR(ISBLANK($I$19),ISBLANK($H19)),"",SUMIF(#REF!,"1",$E$4:$E$9)/COUNTIF(#REF!,"1"))</f>
      </c>
      <c r="G19" s="416"/>
      <c r="H19" s="417"/>
      <c r="I19" s="410"/>
    </row>
    <row r="20" spans="1:9" ht="13.5" thickBot="1">
      <c r="A20" s="21" t="s">
        <v>21</v>
      </c>
      <c r="B20" s="142">
        <f>IF(OR(ISBLANK($E$19),ISBLANK($D20)),"",SUMIF(B$4:B$11,"2",$E$4:$E$9)/COUNTIF(B$4:B$11,"1"))</f>
        <v>48.766666666666666</v>
      </c>
      <c r="C20" s="143">
        <f>IF(OR(ISBLANK($E$19),ISBLANK($D20)),"",SUMIF(C$4:C$11,"2",$E$4:$E$9)/COUNTIF(C$4:C$11,"1"))</f>
        <v>57.18333333333332</v>
      </c>
      <c r="D20" s="420">
        <f>AVERAGE(E5,E6)</f>
        <v>57.98333333333333</v>
      </c>
      <c r="E20" s="415">
        <f>IF(OR(ISBLANK($I$19),ISBLANK($H20)),"",SUMIF(#REF!,"2",$E$4:$E$9)/COUNTIF(#REF!,"2"))</f>
      </c>
      <c r="F20" s="415">
        <f>IF(OR(ISBLANK($I$19),ISBLANK($H20)),"",SUMIF(#REF!,"2",$E$4:$E$9)/COUNTIF(#REF!,"2"))</f>
      </c>
      <c r="G20" s="416"/>
      <c r="H20" s="417"/>
      <c r="I20" s="418"/>
    </row>
    <row r="21" spans="1:9" ht="14.25" thickBot="1" thickTop="1">
      <c r="A21" s="21" t="s">
        <v>22</v>
      </c>
      <c r="B21" s="144">
        <f>IF(OR(ISBLANK($E$19),ISBLANK($D20)),"",B20-B19)</f>
        <v>-16.63333333333334</v>
      </c>
      <c r="C21" s="145">
        <f>IF(OR(ISBLANK($E$19),ISBLANK($D20)),"",C20-C19)</f>
        <v>0.19999999999998863</v>
      </c>
      <c r="D21" s="146">
        <f>IF(OR(ISBLANK($E$19),ISBLANK($D20)),"",D20-D19)</f>
        <v>1.79999999999999</v>
      </c>
      <c r="E21" s="415">
        <f>IF(OR(ISBLANK($I$19),ISBLANK($H20)),"",E19-E20)</f>
      </c>
      <c r="F21" s="415">
        <f>IF(OR(ISBLANK($I$19),ISBLANK($H20)),"",F19-F20)</f>
      </c>
      <c r="G21" s="416"/>
      <c r="H21" s="416"/>
      <c r="I21" s="412"/>
    </row>
    <row r="22" spans="7:9" ht="12.75">
      <c r="G22" s="386"/>
      <c r="H22" s="386"/>
      <c r="I22" s="386"/>
    </row>
    <row r="23" ht="12.75">
      <c r="A23" s="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2">
      <selection activeCell="J32" sqref="J32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99" customWidth="1"/>
    <col min="16" max="16" width="4.140625" style="152" customWidth="1"/>
    <col min="17" max="16384" width="8.8515625" style="2" customWidth="1"/>
  </cols>
  <sheetData>
    <row r="1" spans="1:16" ht="15.75">
      <c r="A1" s="286" t="s">
        <v>63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0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5"/>
      <c r="L11" s="2"/>
      <c r="M11" s="2"/>
      <c r="N11" s="2"/>
      <c r="O11" s="2"/>
      <c r="P11" s="2"/>
    </row>
    <row r="12" spans="9:16" ht="12.75">
      <c r="I12" s="5"/>
      <c r="L12" s="2"/>
      <c r="M12" s="2"/>
      <c r="N12" s="2"/>
      <c r="O12" s="2"/>
      <c r="P12" s="2"/>
    </row>
    <row r="13" spans="9:16" ht="12.75">
      <c r="I13" s="5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254" t="s">
        <v>23</v>
      </c>
      <c r="B21" s="255"/>
      <c r="C21" s="255"/>
      <c r="D21" s="255"/>
      <c r="E21" s="255"/>
      <c r="F21" s="255"/>
      <c r="G21" s="255"/>
      <c r="H21" s="256"/>
      <c r="I21" s="12"/>
      <c r="J21" s="12"/>
      <c r="L21" s="2"/>
      <c r="M21" s="2"/>
      <c r="N21" s="2"/>
      <c r="O21" s="2"/>
      <c r="P21" s="2"/>
    </row>
    <row r="22" spans="1:16" ht="15">
      <c r="A22" s="246" t="s">
        <v>24</v>
      </c>
      <c r="B22" s="254"/>
      <c r="C22" s="255"/>
      <c r="D22" s="255"/>
      <c r="E22" s="255"/>
      <c r="F22" s="255"/>
      <c r="G22" s="255"/>
      <c r="H22" s="256"/>
      <c r="I22" s="12"/>
      <c r="J22" s="12"/>
      <c r="L22" s="2"/>
      <c r="M22" s="2"/>
      <c r="N22" s="2"/>
      <c r="O22" s="2"/>
      <c r="P22" s="2"/>
    </row>
    <row r="23" spans="1:16" ht="12.75">
      <c r="A23" s="58"/>
      <c r="B23" s="58"/>
      <c r="D23" s="84" t="str">
        <f>'Experimental Plan and Data'!B7</f>
        <v>B</v>
      </c>
      <c r="E23" s="84" t="str">
        <f>'Experimental Plan and Data'!C7</f>
        <v>S</v>
      </c>
      <c r="F23" s="84" t="str">
        <f>'Experimental Plan and Data'!D7</f>
        <v>C</v>
      </c>
      <c r="G23" s="423"/>
      <c r="H23" s="12"/>
      <c r="I23" s="12"/>
      <c r="J23" s="12"/>
      <c r="L23" s="2"/>
      <c r="M23" s="2"/>
      <c r="N23" s="2"/>
      <c r="O23" s="2"/>
      <c r="P23" s="2"/>
    </row>
    <row r="24" spans="1:16" ht="12.75">
      <c r="A24" s="58"/>
      <c r="B24" s="81"/>
      <c r="C24" s="100" t="s">
        <v>25</v>
      </c>
      <c r="D24" s="85">
        <v>2</v>
      </c>
      <c r="E24" s="85">
        <v>2</v>
      </c>
      <c r="F24" s="85">
        <v>2</v>
      </c>
      <c r="G24" s="348"/>
      <c r="H24" s="252"/>
      <c r="I24" s="253"/>
      <c r="J24" s="12"/>
      <c r="L24" s="2"/>
      <c r="M24" s="2"/>
      <c r="N24" s="2"/>
      <c r="O24" s="2"/>
      <c r="P24" s="2"/>
    </row>
    <row r="25" spans="1:16" ht="12.75">
      <c r="A25" s="82"/>
      <c r="B25" s="82"/>
      <c r="C25" s="100" t="s">
        <v>26</v>
      </c>
      <c r="D25" s="251" t="str">
        <f>IF(D24="","",IF(D24=1,'Experimental Plan and Data'!B8,IF(D24=2,'Experimental Plan and Data'!B9,"")))</f>
        <v>G</v>
      </c>
      <c r="E25" s="198" t="str">
        <f>IF(E24="","",IF(E24=1,'Experimental Plan and Data'!C8,IF(E24=2,'Experimental Plan and Data'!C9,"")))</f>
        <v>2</v>
      </c>
      <c r="F25" s="198">
        <f>IF(F24="","",IF(F24=1,'Experimental Plan and Data'!E8,IF(F24=2,'Experimental Plan and Data'!E9,"")))</f>
        <v>0</v>
      </c>
      <c r="G25" s="349"/>
      <c r="H25" s="252"/>
      <c r="I25" s="12"/>
      <c r="J25" s="12"/>
      <c r="L25" s="2"/>
      <c r="M25" s="2"/>
      <c r="N25" s="2"/>
      <c r="O25" s="2"/>
      <c r="P25" s="2"/>
    </row>
    <row r="26" spans="4:15" ht="12.75">
      <c r="D26" s="336">
        <f>IF(OR(ISBLANK(D24),ISBLANK(E24),ISBLANK(F24),ISBLANK(G24)),"",IF(AND(OR(D24=1,D24=2),OR(E24=1,E24=2),OR(F24=1,F24=2),OR(G24=1,G24=2)),"","## ERROR:  Enter a 1 or 2 in cells D25-G25 ##"))</f>
      </c>
      <c r="H26" s="58"/>
      <c r="I26" s="101"/>
      <c r="J26" s="101"/>
      <c r="K26" s="101"/>
      <c r="L26" s="152"/>
      <c r="M26" s="152"/>
      <c r="N26" s="152"/>
      <c r="O26" s="152"/>
    </row>
    <row r="27" spans="8:14" ht="12.75">
      <c r="H27" s="82"/>
      <c r="I27" s="102"/>
      <c r="J27" s="102"/>
      <c r="K27" s="102"/>
      <c r="L27" s="153"/>
      <c r="M27" s="152"/>
      <c r="N27" s="152"/>
    </row>
    <row r="28" spans="1:14" ht="12.75">
      <c r="A28" s="83"/>
      <c r="B28" s="1"/>
      <c r="H28" s="58"/>
      <c r="I28" s="103"/>
      <c r="J28" s="103"/>
      <c r="K28" s="103"/>
      <c r="L28" s="154"/>
      <c r="M28" s="152"/>
      <c r="N28" s="152"/>
    </row>
    <row r="29" spans="9:14" ht="12.75">
      <c r="I29" s="102"/>
      <c r="J29" s="102"/>
      <c r="K29" s="102"/>
      <c r="L29" s="154"/>
      <c r="M29" s="155"/>
      <c r="N29" s="155"/>
    </row>
    <row r="30" spans="9:14" ht="12.75">
      <c r="I30" s="58"/>
      <c r="J30" s="58"/>
      <c r="K30" s="58"/>
      <c r="L30" s="154"/>
      <c r="M30" s="155"/>
      <c r="N30" s="155"/>
    </row>
    <row r="31" spans="9:14" ht="12.75">
      <c r="I31" s="58"/>
      <c r="J31" s="58"/>
      <c r="K31" s="58"/>
      <c r="L31" s="155"/>
      <c r="M31" s="155"/>
      <c r="N31" s="155"/>
    </row>
    <row r="32" spans="1:14" ht="12.75">
      <c r="A32" s="98" t="s">
        <v>27</v>
      </c>
      <c r="B32" s="98"/>
      <c r="C32" s="129"/>
      <c r="D32" s="98"/>
      <c r="E32" s="129"/>
      <c r="I32" s="82"/>
      <c r="J32" s="82"/>
      <c r="K32" s="82"/>
      <c r="L32" s="155"/>
      <c r="M32" s="156"/>
      <c r="N32" s="156"/>
    </row>
    <row r="33" spans="1:14" ht="12.75">
      <c r="A33" s="151" t="s">
        <v>28</v>
      </c>
      <c r="B33" s="151" t="s">
        <v>29</v>
      </c>
      <c r="C33" s="292" t="s">
        <v>30</v>
      </c>
      <c r="D33" s="151" t="s">
        <v>31</v>
      </c>
      <c r="E33" s="292" t="s">
        <v>32</v>
      </c>
      <c r="I33" s="58"/>
      <c r="J33" s="58"/>
      <c r="K33" s="58"/>
      <c r="L33" s="156"/>
      <c r="M33" s="155"/>
      <c r="N33" s="155"/>
    </row>
    <row r="34" spans="1:15" ht="12.75">
      <c r="A34" s="151"/>
      <c r="B34" s="151"/>
      <c r="C34" s="152">
        <f>'Response Tables'!F$11</f>
        <v>3.3216666666670562</v>
      </c>
      <c r="D34" s="199"/>
      <c r="E34" s="200">
        <f>'Response Tables'!E$11</f>
        <v>57.083333333333336</v>
      </c>
      <c r="H34" s="2" t="s">
        <v>69</v>
      </c>
      <c r="I34" s="2" t="s">
        <v>70</v>
      </c>
      <c r="L34" s="155"/>
      <c r="M34" s="152"/>
      <c r="N34" s="152"/>
      <c r="O34" s="152"/>
    </row>
    <row r="35" spans="1:15" ht="12.75">
      <c r="A35" s="152" t="str">
        <f>CONCATENATE('Experimental Plan and Data'!B12," 1")</f>
        <v>B 1</v>
      </c>
      <c r="B35" s="99">
        <f>'Response Tables'!B15</f>
        <v>5.210000000000036</v>
      </c>
      <c r="C35" s="152">
        <f>'Response Tables'!F$11</f>
        <v>3.3216666666670562</v>
      </c>
      <c r="D35" s="201">
        <f>'Response Tables'!B19</f>
        <v>65.4</v>
      </c>
      <c r="E35" s="200">
        <f>'Response Tables'!E$11</f>
        <v>57.083333333333336</v>
      </c>
      <c r="G35" s="152" t="str">
        <f>CONCATENATE('Experimental Plan and Data'!B12," 1")</f>
        <v>B 1</v>
      </c>
      <c r="H35" s="99">
        <f>'Response Tables'!B19</f>
        <v>65.4</v>
      </c>
      <c r="I35" s="99">
        <f>'Response Tables'!C19</f>
        <v>56.983333333333334</v>
      </c>
      <c r="L35" s="152"/>
      <c r="M35" s="152"/>
      <c r="N35" s="152"/>
      <c r="O35" s="152"/>
    </row>
    <row r="36" spans="1:12" ht="12.75">
      <c r="A36" s="152" t="str">
        <f>CONCATENATE('Experimental Plan and Data'!B12," 2")</f>
        <v>B 2</v>
      </c>
      <c r="B36" s="99">
        <f>'Response Tables'!B16</f>
        <v>1.433333333334076</v>
      </c>
      <c r="C36" s="152">
        <f>'Response Tables'!F$11</f>
        <v>3.3216666666670562</v>
      </c>
      <c r="D36" s="201">
        <f>'Response Tables'!B20</f>
        <v>48.766666666666666</v>
      </c>
      <c r="E36" s="200">
        <f>'Response Tables'!E$11</f>
        <v>57.083333333333336</v>
      </c>
      <c r="G36" s="152" t="str">
        <f>CONCATENATE('Experimental Plan and Data'!B12," 2")</f>
        <v>B 2</v>
      </c>
      <c r="H36" s="99">
        <f>'Response Tables'!B20</f>
        <v>48.766666666666666</v>
      </c>
      <c r="I36" s="99">
        <f>'Response Tables'!C20</f>
        <v>57.18333333333332</v>
      </c>
      <c r="L36" s="152"/>
    </row>
    <row r="37" spans="1:5" ht="12.75">
      <c r="A37" s="152"/>
      <c r="B37" s="99"/>
      <c r="C37" s="152">
        <f>'Response Tables'!F$11</f>
        <v>3.3216666666670562</v>
      </c>
      <c r="D37" s="201"/>
      <c r="E37" s="200">
        <f>'Response Tables'!E$11</f>
        <v>57.083333333333336</v>
      </c>
    </row>
    <row r="38" spans="1:5" ht="12.75">
      <c r="A38" s="152" t="str">
        <f>CONCATENATE('Experimental Plan and Data'!C12," 1")</f>
        <v>S 1</v>
      </c>
      <c r="B38" s="99">
        <f>'Response Tables'!C15</f>
        <v>0.9166666666669698</v>
      </c>
      <c r="C38" s="152">
        <f>'Response Tables'!F$11</f>
        <v>3.3216666666670562</v>
      </c>
      <c r="D38" s="201">
        <f>'Response Tables'!C19</f>
        <v>56.983333333333334</v>
      </c>
      <c r="E38" s="200">
        <f>'Response Tables'!E$11</f>
        <v>57.083333333333336</v>
      </c>
    </row>
    <row r="39" spans="1:5" ht="12.75">
      <c r="A39" s="152" t="str">
        <f>CONCATENATE('Experimental Plan and Data'!C12," 2")</f>
        <v>S 2</v>
      </c>
      <c r="B39" s="99">
        <f>'Response Tables'!C16</f>
        <v>5.726666666667143</v>
      </c>
      <c r="C39" s="152">
        <f>'Response Tables'!F$11</f>
        <v>3.3216666666670562</v>
      </c>
      <c r="D39" s="201">
        <f>'Response Tables'!C20</f>
        <v>57.18333333333332</v>
      </c>
      <c r="E39" s="200">
        <f>'Response Tables'!E$11</f>
        <v>57.083333333333336</v>
      </c>
    </row>
    <row r="40" spans="1:5" ht="12.75">
      <c r="A40" s="152"/>
      <c r="B40" s="99"/>
      <c r="C40" s="152">
        <f>'Response Tables'!F$11</f>
        <v>3.3216666666670562</v>
      </c>
      <c r="D40" s="201"/>
      <c r="E40" s="200">
        <f>'Response Tables'!E$11</f>
        <v>57.083333333333336</v>
      </c>
    </row>
    <row r="41" spans="1:5" ht="12.75">
      <c r="A41" s="152" t="str">
        <f>CONCATENATE('Experimental Plan and Data'!D12," 1")</f>
        <v>C 1</v>
      </c>
      <c r="B41" s="99">
        <f>'Response Tables'!D15</f>
        <v>1.006666666666888</v>
      </c>
      <c r="C41" s="152">
        <f>'Response Tables'!F$11</f>
        <v>3.3216666666670562</v>
      </c>
      <c r="D41" s="201">
        <f>'Response Tables'!D19</f>
        <v>56.18333333333334</v>
      </c>
      <c r="E41" s="200">
        <f>'Response Tables'!E$11</f>
        <v>57.083333333333336</v>
      </c>
    </row>
    <row r="42" spans="1:5" ht="12.75">
      <c r="A42" s="152" t="str">
        <f>CONCATENATE('Experimental Plan and Data'!D12," 2")</f>
        <v>C 2</v>
      </c>
      <c r="B42" s="99">
        <f>'Response Tables'!D16</f>
        <v>5.6366666666672245</v>
      </c>
      <c r="C42" s="152">
        <f>'Response Tables'!F$11</f>
        <v>3.3216666666670562</v>
      </c>
      <c r="D42" s="201">
        <f>'Response Tables'!D20</f>
        <v>57.98333333333333</v>
      </c>
      <c r="E42" s="200">
        <f>'Response Tables'!E$11</f>
        <v>57.083333333333336</v>
      </c>
    </row>
    <row r="43" spans="1:5" ht="12.75">
      <c r="A43" s="152"/>
      <c r="B43" s="99"/>
      <c r="C43" s="152"/>
      <c r="D43" s="201"/>
      <c r="E43" s="200"/>
    </row>
    <row r="44" spans="1:5" ht="12.75">
      <c r="A44" s="152"/>
      <c r="B44" s="99"/>
      <c r="C44" s="152"/>
      <c r="D44" s="201"/>
      <c r="E44" s="200"/>
    </row>
    <row r="45" spans="1:5" ht="12.75">
      <c r="A45" s="152"/>
      <c r="B45" s="99"/>
      <c r="C45" s="152"/>
      <c r="D45" s="201"/>
      <c r="E45" s="200"/>
    </row>
    <row r="46" spans="1:5" ht="12.75">
      <c r="A46" s="152"/>
      <c r="B46" s="99"/>
      <c r="C46" s="152"/>
      <c r="D46" s="201"/>
      <c r="E46" s="200"/>
    </row>
    <row r="47" spans="1:5" ht="12.75">
      <c r="A47" s="152"/>
      <c r="B47" s="99"/>
      <c r="C47" s="152"/>
      <c r="D47" s="201"/>
      <c r="E47" s="200"/>
    </row>
    <row r="48" spans="1:5" ht="12.75">
      <c r="A48" s="152"/>
      <c r="B48" s="99"/>
      <c r="C48" s="152"/>
      <c r="D48" s="201"/>
      <c r="E48" s="200"/>
    </row>
    <row r="49" spans="1:5" ht="12.75">
      <c r="A49" s="152"/>
      <c r="B49" s="99"/>
      <c r="C49" s="152"/>
      <c r="D49" s="201"/>
      <c r="E49" s="200"/>
    </row>
    <row r="50" spans="1:5" ht="12.75">
      <c r="A50" s="152"/>
      <c r="B50" s="99"/>
      <c r="C50" s="152"/>
      <c r="D50" s="201"/>
      <c r="E50" s="200"/>
    </row>
    <row r="51" spans="1:5" ht="12.75">
      <c r="A51" s="152"/>
      <c r="B51" s="99"/>
      <c r="C51" s="152"/>
      <c r="D51" s="201"/>
      <c r="E51" s="200"/>
    </row>
    <row r="52" spans="1:5" ht="12.75">
      <c r="A52" s="152"/>
      <c r="B52" s="99"/>
      <c r="C52" s="152"/>
      <c r="D52" s="201"/>
      <c r="E52" s="200"/>
    </row>
    <row r="53" spans="1:5" ht="12.75">
      <c r="A53" s="152"/>
      <c r="B53" s="99"/>
      <c r="C53" s="152"/>
      <c r="D53" s="201"/>
      <c r="E53" s="200"/>
    </row>
    <row r="54" spans="1:5" ht="12.75">
      <c r="A54" s="152"/>
      <c r="B54" s="99"/>
      <c r="C54" s="152"/>
      <c r="D54" s="201"/>
      <c r="E54" s="200"/>
    </row>
    <row r="55" spans="1:5" ht="12.75">
      <c r="A55" s="152"/>
      <c r="B55" s="99"/>
      <c r="C55" s="152"/>
      <c r="D55" s="201"/>
      <c r="E55" s="200"/>
    </row>
    <row r="56" spans="1:5" ht="12.75">
      <c r="A56" s="152" t="s">
        <v>33</v>
      </c>
      <c r="B56" s="152"/>
      <c r="C56" s="152"/>
      <c r="D56" s="200"/>
      <c r="E56" s="200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1">
      <selection activeCell="K12" sqref="K12"/>
    </sheetView>
  </sheetViews>
  <sheetFormatPr defaultColWidth="9.140625" defaultRowHeight="12.75"/>
  <cols>
    <col min="1" max="1" width="7.421875" style="68" customWidth="1"/>
    <col min="2" max="2" width="9.57421875" style="86" customWidth="1"/>
    <col min="3" max="3" width="14.7109375" style="0" customWidth="1"/>
    <col min="4" max="4" width="8.7109375" style="170" customWidth="1"/>
    <col min="5" max="5" width="6.7109375" style="170" customWidth="1"/>
    <col min="6" max="6" width="9.7109375" style="0" customWidth="1"/>
    <col min="7" max="7" width="14.7109375" style="0" customWidth="1"/>
    <col min="8" max="8" width="8.7109375" style="170" customWidth="1"/>
    <col min="9" max="9" width="6.7109375" style="0" customWidth="1"/>
  </cols>
  <sheetData>
    <row r="1" s="26" customFormat="1" ht="15.75">
      <c r="A1" s="286" t="s">
        <v>63</v>
      </c>
    </row>
    <row r="2" spans="1:8" s="26" customFormat="1" ht="15.75">
      <c r="A2" s="80"/>
      <c r="D2" s="170"/>
      <c r="E2" s="170"/>
      <c r="H2" s="170"/>
    </row>
    <row r="3" spans="1:9" s="68" customFormat="1" ht="15">
      <c r="A3" s="127" t="s">
        <v>34</v>
      </c>
      <c r="B3" s="123"/>
      <c r="C3" s="123"/>
      <c r="D3" s="123"/>
      <c r="E3" s="123"/>
      <c r="F3" s="123"/>
      <c r="G3" s="123"/>
      <c r="H3" s="123"/>
      <c r="I3" s="161"/>
    </row>
    <row r="4" spans="1:9" s="68" customFormat="1" ht="15">
      <c r="A4" s="188"/>
      <c r="B4" s="96"/>
      <c r="C4" s="202" t="s">
        <v>13</v>
      </c>
      <c r="D4" s="189"/>
      <c r="E4" s="189"/>
      <c r="F4" s="96"/>
      <c r="G4" s="202" t="s">
        <v>66</v>
      </c>
      <c r="H4" s="189"/>
      <c r="I4" s="167"/>
    </row>
    <row r="5" spans="1:9" s="26" customFormat="1" ht="15">
      <c r="A5" s="186"/>
      <c r="B5" s="182"/>
      <c r="C5" s="160" t="s">
        <v>36</v>
      </c>
      <c r="D5" s="117"/>
      <c r="E5" s="182"/>
      <c r="F5" s="182"/>
      <c r="G5" s="160" t="s">
        <v>36</v>
      </c>
      <c r="H5" s="117"/>
      <c r="I5" s="187"/>
    </row>
    <row r="6" spans="1:9" s="119" customFormat="1" ht="14.25">
      <c r="A6" s="157" t="s">
        <v>6</v>
      </c>
      <c r="B6" s="158" t="s">
        <v>37</v>
      </c>
      <c r="C6" s="159" t="s">
        <v>38</v>
      </c>
      <c r="D6" s="172" t="s">
        <v>39</v>
      </c>
      <c r="E6" s="172"/>
      <c r="F6" s="159"/>
      <c r="G6" s="159" t="s">
        <v>38</v>
      </c>
      <c r="H6" s="172" t="s">
        <v>39</v>
      </c>
      <c r="I6" s="168"/>
    </row>
    <row r="7" spans="1:9" ht="12.75">
      <c r="A7" s="124" t="str">
        <f>'Experimental Plan and Data'!B7</f>
        <v>B</v>
      </c>
      <c r="B7" s="93">
        <f>'Experimental Plan and Data'!R7</f>
        <v>1</v>
      </c>
      <c r="C7" s="147" t="str">
        <f>CONCATENATE(A7,B7," avg - Tbar S/N")</f>
        <v>B1 avg - Tbar S/N</v>
      </c>
      <c r="D7" s="173">
        <f>IF(ISBLANK('Experimental Plan and Data'!$R$7),"",IF('Experimental Plan and Data'!$R$7=1,'Response Tables'!$B$15-'Response Tables'!$F$11,'Response Tables'!$B$16-'Response Tables'!$F$11))</f>
        <v>1.8883333333329801</v>
      </c>
      <c r="E7" s="173"/>
      <c r="F7" s="113"/>
      <c r="G7" s="147" t="str">
        <f>CONCATENATE(A7,B7," avg - Tbar Beta")</f>
        <v>B1 avg - Tbar Beta</v>
      </c>
      <c r="H7" s="180">
        <f>IF(ISBLANK('Experimental Plan and Data'!$R$7),"",IF('Experimental Plan and Data'!$R$7=1,'Response Tables'!$B$19-'Response Tables'!$E$11,'Response Tables'!$B$20-'Response Tables'!$E$11))</f>
        <v>8.31666666666667</v>
      </c>
      <c r="I7" s="162"/>
    </row>
    <row r="8" spans="1:9" ht="12.75">
      <c r="A8" s="124" t="str">
        <f>'Experimental Plan and Data'!C7</f>
        <v>S</v>
      </c>
      <c r="B8" s="93">
        <f>'Experimental Plan and Data'!S7</f>
        <v>1</v>
      </c>
      <c r="C8" s="147" t="str">
        <f>CONCATENATE(A8,B8," avg - Tbar S/N")</f>
        <v>S1 avg - Tbar S/N</v>
      </c>
      <c r="D8" s="173">
        <f>IF(ISBLANK('Experimental Plan and Data'!$S$7),"",IF('Experimental Plan and Data'!$S$7=1,'Response Tables'!$C$15-'Response Tables'!$F$11,'Response Tables'!$C$16-'Response Tables'!$F$11))</f>
        <v>-2.4050000000000864</v>
      </c>
      <c r="E8" s="173"/>
      <c r="F8" s="97"/>
      <c r="G8" s="147" t="str">
        <f>CONCATENATE(A8,B8," avg - Tbar Beta")</f>
        <v>S1 avg - Tbar Beta</v>
      </c>
      <c r="H8" s="180">
        <f>IF(ISBLANK('Experimental Plan and Data'!$S$7),"",IF('Experimental Plan and Data'!$S$7=1,'Response Tables'!$C$19-'Response Tables'!$E$11,'Response Tables'!$C$20-'Response Tables'!$E$11))</f>
        <v>-0.10000000000000142</v>
      </c>
      <c r="I8" s="162"/>
    </row>
    <row r="9" spans="1:9" ht="12.75">
      <c r="A9" s="124" t="str">
        <f>'Experimental Plan and Data'!D7</f>
        <v>C</v>
      </c>
      <c r="B9" s="93">
        <f>'Experimental Plan and Data'!T7</f>
        <v>1</v>
      </c>
      <c r="C9" s="147" t="str">
        <f>CONCATENATE(A9,B9," avg - Tbar S/N")</f>
        <v>C1 avg - Tbar S/N</v>
      </c>
      <c r="D9" s="173">
        <f>IF(ISBLANK('Experimental Plan and Data'!$T$7),"",IF('Experimental Plan and Data'!$T$7=1,'Response Tables'!$D$15-'Response Tables'!$F$11,'Response Tables'!$D$16-'Response Tables'!$F$11))</f>
        <v>-2.3150000000001683</v>
      </c>
      <c r="E9" s="173"/>
      <c r="F9" s="97"/>
      <c r="G9" s="147" t="str">
        <f>CONCATENATE(A9,B9," avg - Tbar Beta")</f>
        <v>C1 avg - Tbar Beta</v>
      </c>
      <c r="H9" s="180">
        <f>IF(ISBLANK('Experimental Plan and Data'!$T$7),"",IF('Experimental Plan and Data'!$T$7=1,'Response Tables'!$D$19-'Response Tables'!$E$11,'Response Tables'!$D$20-'Response Tables'!$E$11))</f>
        <v>-0.8999999999999986</v>
      </c>
      <c r="I9" s="162"/>
    </row>
    <row r="10" spans="1:9" s="86" customFormat="1" ht="13.5" thickBot="1">
      <c r="A10" s="124"/>
      <c r="B10" s="93"/>
      <c r="C10" s="165"/>
      <c r="D10" s="174"/>
      <c r="E10" s="173"/>
      <c r="F10" s="97"/>
      <c r="G10" s="165"/>
      <c r="H10" s="181"/>
      <c r="I10" s="162"/>
    </row>
    <row r="11" spans="1:9" ht="13.5" thickTop="1">
      <c r="A11" s="120"/>
      <c r="B11" s="95"/>
      <c r="C11" s="128" t="s">
        <v>40</v>
      </c>
      <c r="D11" s="175">
        <f>SUM(D7:D10)</f>
        <v>-2.8316666666672745</v>
      </c>
      <c r="E11" s="175"/>
      <c r="F11" s="97"/>
      <c r="G11" s="128" t="s">
        <v>40</v>
      </c>
      <c r="H11" s="178">
        <f>SUM(H7:H10)</f>
        <v>7.31666666666667</v>
      </c>
      <c r="I11" s="162"/>
    </row>
    <row r="12" spans="1:9" s="91" customFormat="1" ht="15" thickBot="1">
      <c r="A12" s="121"/>
      <c r="B12" s="92"/>
      <c r="C12" s="166" t="s">
        <v>41</v>
      </c>
      <c r="D12" s="176">
        <f>'Response Tables'!F11</f>
        <v>3.3216666666670562</v>
      </c>
      <c r="E12" s="183"/>
      <c r="F12" s="92"/>
      <c r="G12" s="166" t="s">
        <v>42</v>
      </c>
      <c r="H12" s="179">
        <f>'Response Tables'!E11</f>
        <v>57.083333333333336</v>
      </c>
      <c r="I12" s="169"/>
    </row>
    <row r="13" spans="1:9" ht="13.5" thickTop="1">
      <c r="A13" s="122"/>
      <c r="B13" s="268"/>
      <c r="C13" s="269" t="s">
        <v>43</v>
      </c>
      <c r="D13" s="274">
        <f>SUM(D11:D12)</f>
        <v>0.4899999999997817</v>
      </c>
      <c r="E13" s="177"/>
      <c r="F13" s="270"/>
      <c r="G13" s="269" t="s">
        <v>44</v>
      </c>
      <c r="H13" s="275">
        <f>SUM(H11:H12)</f>
        <v>64.4</v>
      </c>
      <c r="I13" s="164"/>
    </row>
    <row r="14" spans="1:8" ht="6" customHeight="1">
      <c r="A14"/>
      <c r="B14"/>
      <c r="D14" s="8"/>
      <c r="E14"/>
      <c r="H14" s="190"/>
    </row>
    <row r="15" spans="1:9" ht="15">
      <c r="A15" s="127" t="s">
        <v>45</v>
      </c>
      <c r="B15" s="123"/>
      <c r="C15" s="123"/>
      <c r="D15" s="337">
        <f>IF(ISBLANK(D19),"",IF(OR(AND('Response Plots'!D24=1,Prediction!D19=('Response Tables'!B15-'Response Tables'!F11)),AND('Response Plots'!D24=2,Prediction!D19=('Response Tables'!B16-'Response Tables'!F11))),"","## ERROR in cell D19 ##"))</f>
      </c>
      <c r="E15" s="123"/>
      <c r="F15" s="123"/>
      <c r="G15" s="123"/>
      <c r="H15" s="338">
        <f>IF(ISBLANK(H19),"",IF(OR(AND('Response Plots'!D24=1,Prediction!H19=('Response Tables'!B19-'Response Tables'!E11)),AND('Response Plots'!D24=2,Prediction!H19=('Response Tables'!B20-'Response Tables'!E11))),"","## ERROR in cell H19 ##"))</f>
      </c>
      <c r="I15" s="161"/>
    </row>
    <row r="16" spans="1:9" ht="15">
      <c r="A16" s="188"/>
      <c r="B16"/>
      <c r="C16" s="202" t="s">
        <v>13</v>
      </c>
      <c r="D16" s="194"/>
      <c r="E16" s="189"/>
      <c r="F16" s="86"/>
      <c r="G16" s="202" t="s">
        <v>66</v>
      </c>
      <c r="H16" s="191"/>
      <c r="I16" s="162"/>
    </row>
    <row r="17" spans="1:9" s="26" customFormat="1" ht="15">
      <c r="A17" s="186"/>
      <c r="B17" s="182"/>
      <c r="C17" s="160" t="s">
        <v>36</v>
      </c>
      <c r="D17" s="150"/>
      <c r="E17" s="182"/>
      <c r="F17" s="182"/>
      <c r="G17" s="160" t="s">
        <v>36</v>
      </c>
      <c r="H17" s="192"/>
      <c r="I17" s="187"/>
    </row>
    <row r="18" spans="1:9" s="118" customFormat="1" ht="14.25">
      <c r="A18" s="157" t="s">
        <v>6</v>
      </c>
      <c r="B18" s="158" t="s">
        <v>37</v>
      </c>
      <c r="C18" s="159" t="s">
        <v>38</v>
      </c>
      <c r="D18" s="195" t="s">
        <v>39</v>
      </c>
      <c r="E18" s="172"/>
      <c r="F18" s="159"/>
      <c r="G18" s="159" t="s">
        <v>38</v>
      </c>
      <c r="H18" s="193" t="s">
        <v>39</v>
      </c>
      <c r="I18" s="163"/>
    </row>
    <row r="19" spans="1:9" ht="13.5" customHeight="1">
      <c r="A19" s="124" t="str">
        <f>'Experimental Plan and Data'!B7</f>
        <v>B</v>
      </c>
      <c r="B19" s="93">
        <f>'Response Plots'!D24</f>
        <v>2</v>
      </c>
      <c r="C19" s="147" t="str">
        <f>CONCATENATE(A19,B19," avg - Tbar S/N")</f>
        <v>B2 avg - Tbar S/N</v>
      </c>
      <c r="D19" s="287">
        <f>'Response Tables'!B16-'Response Tables'!F11</f>
        <v>-1.8883333333329801</v>
      </c>
      <c r="E19" s="289" t="s">
        <v>65</v>
      </c>
      <c r="F19" s="86"/>
      <c r="G19" s="147" t="str">
        <f>CONCATENATE(A19,B19," avg - Tbar Beta")</f>
        <v>B2 avg - Tbar Beta</v>
      </c>
      <c r="H19" s="290">
        <f>'Response Tables'!B20-'Response Tables'!E11</f>
        <v>-8.31666666666667</v>
      </c>
      <c r="I19" s="289" t="s">
        <v>65</v>
      </c>
    </row>
    <row r="20" spans="1:9" ht="13.5" customHeight="1">
      <c r="A20" s="124" t="str">
        <f>'Experimental Plan and Data'!C7</f>
        <v>S</v>
      </c>
      <c r="B20" s="93">
        <f>'Response Plots'!E24</f>
        <v>2</v>
      </c>
      <c r="C20" s="147" t="str">
        <f>CONCATENATE(A20,B20," avg - Tbar S/N")</f>
        <v>S2 avg - Tbar S/N</v>
      </c>
      <c r="D20" s="173">
        <f>IF(OR(ISBLANK($E$19),ISBLANK($D$19)),"",IF('Response Plots'!E24=1,'Response Tables'!C$16-'Response Tables'!$F$11,'Response Tables'!C$16-'Response Tables'!$F$11))</f>
        <v>2.4050000000000864</v>
      </c>
      <c r="E20" s="173"/>
      <c r="F20" s="86"/>
      <c r="G20" s="147" t="str">
        <f>CONCATENATE(A20,B20," avg - Tbar Beta")</f>
        <v>S2 avg - Tbar Beta</v>
      </c>
      <c r="H20" s="180">
        <f>IF(OR(ISBLANK($I$19),ISBLANK($H$19)),"",IF('Response Plots'!E24=1,'Response Tables'!C19-'Response Tables'!E11,'Response Tables'!C20-'Response Tables'!E11))</f>
        <v>0.09999999999998721</v>
      </c>
      <c r="I20" s="162"/>
    </row>
    <row r="21" spans="1:9" ht="13.5" customHeight="1">
      <c r="A21" s="124" t="str">
        <f>'Experimental Plan and Data'!D7</f>
        <v>C</v>
      </c>
      <c r="B21" s="93">
        <f>'Response Plots'!F24</f>
        <v>2</v>
      </c>
      <c r="C21" s="147" t="str">
        <f>CONCATENATE(A21,B21," avg - Tbar S/N")</f>
        <v>C2 avg - Tbar S/N</v>
      </c>
      <c r="D21" s="173">
        <f>IF(OR(ISBLANK($E$19),ISBLANK($D$19)),"",IF('Response Plots'!F24=1,'Response Tables'!D15-'Response Tables'!$F$11,'Response Tables'!D$16-'Response Tables'!$F$11))</f>
        <v>2.3150000000001683</v>
      </c>
      <c r="E21" s="173"/>
      <c r="G21" s="147" t="str">
        <f>CONCATENATE(A21,B21," avg - Tbar Beta")</f>
        <v>C2 avg - Tbar Beta</v>
      </c>
      <c r="H21" s="180">
        <f>IF(OR(ISBLANK($I$19),ISBLANK($H$19)),"",IF('Response Plots'!F24=1,'Response Tables'!D19-'Response Tables'!$E$11,'Response Tables'!D20-'Response Tables'!$E$11))</f>
        <v>0.8999999999999915</v>
      </c>
      <c r="I21" s="162"/>
    </row>
    <row r="22" spans="1:9" ht="13.5" customHeight="1" thickBot="1">
      <c r="A22" s="124"/>
      <c r="B22" s="93"/>
      <c r="C22" s="165"/>
      <c r="D22" s="174"/>
      <c r="E22" s="173"/>
      <c r="G22" s="165"/>
      <c r="H22" s="181"/>
      <c r="I22" s="162"/>
    </row>
    <row r="23" spans="1:9" ht="13.5" thickTop="1">
      <c r="A23" s="120"/>
      <c r="B23" s="339">
        <f>IF(ISBLANK(D23),"",IF(D23=SUM(D19:D22),"","## S/N Total ERROR ##"))</f>
      </c>
      <c r="C23" s="128" t="s">
        <v>40</v>
      </c>
      <c r="D23" s="288">
        <f>SUM(D19:D21)</f>
        <v>2.8316666666672745</v>
      </c>
      <c r="E23" s="173"/>
      <c r="F23" s="339">
        <f>IF(ISBLANK(H23),"",IF(H23=SUM(H19:H22),"","## Beta Total ERROR ##"))</f>
      </c>
      <c r="G23" s="128" t="s">
        <v>40</v>
      </c>
      <c r="H23" s="291">
        <f>SUM(H19:H21)</f>
        <v>-7.316666666666691</v>
      </c>
      <c r="I23" s="162"/>
    </row>
    <row r="24" spans="1:9" ht="15" thickBot="1">
      <c r="A24" s="121"/>
      <c r="B24" s="339">
        <f>IF(ISBLANK(D25),"",IF(D25=SUM(D23:D24),"","## S/N Pred ERROR ##"))</f>
      </c>
      <c r="C24" s="166" t="s">
        <v>41</v>
      </c>
      <c r="D24" s="176">
        <f>'Response Tables'!F11</f>
        <v>3.3216666666670562</v>
      </c>
      <c r="E24" s="184"/>
      <c r="F24" s="339">
        <f>IF(ISBLANK(H25),"",IF(H25=SUM(H23:H24),"","## Beta Pred ERROR ##"))</f>
      </c>
      <c r="G24" s="166" t="s">
        <v>42</v>
      </c>
      <c r="H24" s="179">
        <f>'Response Tables'!E11</f>
        <v>57.083333333333336</v>
      </c>
      <c r="I24" s="162"/>
    </row>
    <row r="25" spans="1:9" ht="13.5" thickTop="1">
      <c r="A25" s="122"/>
      <c r="B25" s="271"/>
      <c r="C25" s="272" t="s">
        <v>46</v>
      </c>
      <c r="D25" s="288">
        <f>SUM(D23:D24)</f>
        <v>6.153333333334331</v>
      </c>
      <c r="E25" s="185"/>
      <c r="F25" s="273"/>
      <c r="G25" s="272" t="s">
        <v>47</v>
      </c>
      <c r="H25" s="291">
        <f>SUM(H23:H24)</f>
        <v>49.766666666666644</v>
      </c>
      <c r="I25" s="164"/>
    </row>
    <row r="26" spans="1:8" ht="12.75">
      <c r="A26" s="96"/>
      <c r="C26" s="86"/>
      <c r="D26" s="171"/>
      <c r="E26" s="171"/>
      <c r="F26" s="86"/>
      <c r="G26" s="86"/>
      <c r="H26" s="171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tabSelected="1" zoomScale="85" zoomScaleNormal="85" workbookViewId="0" topLeftCell="A1">
      <selection activeCell="L23" sqref="L23"/>
    </sheetView>
  </sheetViews>
  <sheetFormatPr defaultColWidth="9.140625" defaultRowHeight="12.75"/>
  <cols>
    <col min="1" max="1" width="10.57421875" style="2" customWidth="1"/>
    <col min="2" max="11" width="4.57421875" style="2" customWidth="1"/>
    <col min="12" max="12" width="8.421875" style="2" customWidth="1"/>
    <col min="13" max="13" width="7.57421875" style="2" customWidth="1"/>
    <col min="14" max="14" width="7.28125" style="2" customWidth="1"/>
    <col min="15" max="21" width="4.57421875" style="2" customWidth="1"/>
    <col min="22" max="22" width="9.421875" style="2" customWidth="1"/>
    <col min="23" max="24" width="5.57421875" style="2" customWidth="1"/>
    <col min="25" max="16384" width="8.8515625" style="2" customWidth="1"/>
  </cols>
  <sheetData>
    <row r="1" s="6" customFormat="1" ht="15.75">
      <c r="A1" s="286" t="s">
        <v>63</v>
      </c>
    </row>
    <row r="2" spans="1:10" ht="15.75">
      <c r="A2" s="10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15"/>
    </row>
    <row r="4" spans="1:24" ht="13.5" thickBot="1">
      <c r="A4" s="14"/>
      <c r="B4" s="276"/>
      <c r="C4" s="18"/>
      <c r="D4" s="18"/>
      <c r="E4" s="13"/>
      <c r="F4" s="61"/>
      <c r="G4" s="60">
        <f>IF(ISBLANK('Experimental Plan and Data'!J11),"",'Experimental Plan and Data'!J11)</f>
      </c>
      <c r="H4" s="25"/>
      <c r="I4" s="25"/>
      <c r="J4" s="18"/>
      <c r="K4" s="19"/>
      <c r="L4" s="285" t="s">
        <v>65</v>
      </c>
      <c r="M4" s="285" t="s">
        <v>65</v>
      </c>
      <c r="N4" s="285" t="s">
        <v>65</v>
      </c>
      <c r="O4" s="445"/>
      <c r="P4" s="446"/>
      <c r="Q4" s="447"/>
      <c r="R4" s="445"/>
      <c r="S4" s="445"/>
      <c r="T4" s="445"/>
      <c r="U4" s="445"/>
      <c r="V4" s="348"/>
      <c r="W4" s="348"/>
      <c r="X4" s="348"/>
    </row>
    <row r="5" spans="1:24" ht="16.5" thickBot="1">
      <c r="A5" s="55" t="s">
        <v>48</v>
      </c>
      <c r="B5" s="27" t="s">
        <v>60</v>
      </c>
      <c r="C5" s="28"/>
      <c r="D5" s="28"/>
      <c r="E5" s="277"/>
      <c r="F5" s="54"/>
      <c r="G5" s="444" t="s">
        <v>62</v>
      </c>
      <c r="H5" s="28"/>
      <c r="I5" s="28"/>
      <c r="J5" s="277"/>
      <c r="K5" s="29"/>
      <c r="L5" s="454" t="s">
        <v>64</v>
      </c>
      <c r="M5" s="125" t="s">
        <v>49</v>
      </c>
      <c r="N5" s="126" t="s">
        <v>13</v>
      </c>
      <c r="O5" s="449"/>
      <c r="P5" s="450"/>
      <c r="Q5" s="448"/>
      <c r="R5" s="448"/>
      <c r="S5" s="448"/>
      <c r="T5" s="449"/>
      <c r="U5" s="451"/>
      <c r="V5" s="457"/>
      <c r="W5" s="457"/>
      <c r="X5" s="458"/>
    </row>
    <row r="6" spans="1:24" ht="13.5" thickBot="1">
      <c r="A6" s="196" t="s">
        <v>50</v>
      </c>
      <c r="B6" s="36">
        <v>1</v>
      </c>
      <c r="C6" s="37">
        <v>3</v>
      </c>
      <c r="D6" s="37"/>
      <c r="E6" s="38"/>
      <c r="F6" s="56"/>
      <c r="G6" s="30"/>
      <c r="H6" s="30"/>
      <c r="I6" s="30"/>
      <c r="J6" s="31"/>
      <c r="K6" s="32"/>
      <c r="L6" s="455">
        <f>IF(OR(ISBLANK(L4),ISBLANK(B6)),"",AVERAGE(B6:K6))</f>
        <v>2</v>
      </c>
      <c r="M6" s="278">
        <f>IF(OR(ISBLANK(#REF!),ISBLANK(B6)),"",VAR(B6:K6))</f>
        <v>2</v>
      </c>
      <c r="N6" s="279">
        <f>IF(OR(ISBLANK(#REF!),ISBLANK(N4)),"",10*LOG(L6^2/M6))</f>
        <v>3.010299956639812</v>
      </c>
      <c r="O6" s="453"/>
      <c r="P6" s="453"/>
      <c r="Q6" s="452"/>
      <c r="R6" s="452"/>
      <c r="S6" s="452"/>
      <c r="T6" s="453"/>
      <c r="U6" s="453"/>
      <c r="V6" s="459"/>
      <c r="W6" s="460"/>
      <c r="X6" s="461"/>
    </row>
    <row r="7" spans="1:24" ht="13.5" thickBot="1">
      <c r="A7" s="197" t="s">
        <v>51</v>
      </c>
      <c r="B7" s="39">
        <v>4</v>
      </c>
      <c r="C7" s="40">
        <v>5.1</v>
      </c>
      <c r="D7" s="40"/>
      <c r="E7" s="41"/>
      <c r="F7" s="57"/>
      <c r="G7" s="33"/>
      <c r="H7" s="33"/>
      <c r="I7" s="33"/>
      <c r="J7" s="34"/>
      <c r="K7" s="35"/>
      <c r="L7" s="456">
        <f>IF(OR(ISBLANK(L4),ISBLANK(B7)),"",AVERAGE(B7:K7))</f>
        <v>4.55</v>
      </c>
      <c r="M7" s="424">
        <f>IF(OR(ISBLANK(B7),ISBLANK(M4)),"",VAR(B7:K7))</f>
        <v>0.605000000000004</v>
      </c>
      <c r="N7" s="425">
        <f>IF(OR(ISBLANK(#REF!),ISBLANK(N4)),"",10*LOG(L7^2/M7))</f>
        <v>15.342674186617531</v>
      </c>
      <c r="O7" s="453"/>
      <c r="P7" s="453"/>
      <c r="Q7" s="452"/>
      <c r="R7" s="452"/>
      <c r="S7" s="452"/>
      <c r="T7" s="453"/>
      <c r="U7" s="453"/>
      <c r="V7" s="459"/>
      <c r="W7" s="460"/>
      <c r="X7" s="461"/>
    </row>
    <row r="9" spans="1:11" ht="21" thickBot="1">
      <c r="A9" s="87" t="s">
        <v>52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3:23" s="112" customFormat="1" ht="15">
      <c r="C10" s="104" t="s">
        <v>13</v>
      </c>
      <c r="D10" s="105"/>
      <c r="E10" s="105"/>
      <c r="F10" s="206"/>
      <c r="G10" s="106" t="s">
        <v>35</v>
      </c>
      <c r="H10" s="105"/>
      <c r="I10" s="105"/>
      <c r="J10" s="107"/>
      <c r="P10" s="2"/>
      <c r="Q10" s="2"/>
      <c r="R10" s="2"/>
      <c r="S10" s="2"/>
      <c r="T10" s="2"/>
      <c r="U10" s="2"/>
      <c r="V10" s="2"/>
      <c r="W10" s="2"/>
    </row>
    <row r="11" spans="3:23" s="112" customFormat="1" ht="15.75" thickBot="1">
      <c r="C11" s="203" t="s">
        <v>53</v>
      </c>
      <c r="D11" s="116"/>
      <c r="E11" s="280" t="s">
        <v>54</v>
      </c>
      <c r="F11" s="207"/>
      <c r="G11" s="204" t="s">
        <v>53</v>
      </c>
      <c r="H11" s="116"/>
      <c r="I11" s="280" t="s">
        <v>54</v>
      </c>
      <c r="J11" s="205"/>
      <c r="P11" s="2"/>
      <c r="Q11" s="2"/>
      <c r="R11" s="2"/>
      <c r="S11" s="2"/>
      <c r="T11" s="2"/>
      <c r="U11" s="2"/>
      <c r="V11" s="2"/>
      <c r="W11" s="2"/>
    </row>
    <row r="12" spans="1:23" s="112" customFormat="1" ht="15">
      <c r="A12" s="108"/>
      <c r="B12" s="109" t="s">
        <v>55</v>
      </c>
      <c r="C12" s="213">
        <f>IF(ISBLANK(Prediction!D25),"",Prediction!D13)</f>
        <v>0.4899999999997817</v>
      </c>
      <c r="D12" s="214"/>
      <c r="E12" s="219">
        <f>IF(ISBLANK(X6),"",X6)</f>
      </c>
      <c r="F12" s="220"/>
      <c r="G12" s="215">
        <f>IF(ISBLANK(Prediction!H25),"",Prediction!H13)</f>
        <v>64.4</v>
      </c>
      <c r="H12" s="281"/>
      <c r="I12" s="225">
        <f>IF(ISBLANK(V6),"",V6)</f>
      </c>
      <c r="J12" s="226"/>
      <c r="P12" s="2"/>
      <c r="Q12" s="2"/>
      <c r="R12" s="2"/>
      <c r="S12" s="2"/>
      <c r="T12" s="2"/>
      <c r="U12" s="2"/>
      <c r="V12" s="2"/>
      <c r="W12" s="2"/>
    </row>
    <row r="13" spans="1:23" s="112" customFormat="1" ht="15.75" thickBot="1">
      <c r="A13" s="114"/>
      <c r="B13" s="115" t="s">
        <v>56</v>
      </c>
      <c r="C13" s="210">
        <f>IF(ISBLANK(Prediction!D25),"",Prediction!D25)</f>
        <v>6.153333333334331</v>
      </c>
      <c r="D13" s="211"/>
      <c r="E13" s="221">
        <f>IF(ISBLANK(X7),"",X7)</f>
      </c>
      <c r="F13" s="222"/>
      <c r="G13" s="212">
        <f>IF(ISBLANK(Prediction!H25),"",Prediction!H25)</f>
        <v>49.766666666666644</v>
      </c>
      <c r="H13" s="282"/>
      <c r="I13" s="227">
        <f>IF(ISBLANK(V7),"",V7)</f>
      </c>
      <c r="J13" s="228"/>
      <c r="P13" s="2"/>
      <c r="Q13" s="2"/>
      <c r="R13" s="2"/>
      <c r="S13" s="2"/>
      <c r="T13" s="2"/>
      <c r="U13" s="2"/>
      <c r="V13" s="2"/>
      <c r="W13" s="2"/>
    </row>
    <row r="14" spans="1:23" s="112" customFormat="1" ht="16.5" thickBot="1" thickTop="1">
      <c r="A14" s="110"/>
      <c r="B14" s="111" t="s">
        <v>57</v>
      </c>
      <c r="C14" s="216">
        <f>IF(ISBLANK(Prediction!D25),"",C13-C12)</f>
        <v>5.663333333334549</v>
      </c>
      <c r="D14" s="217"/>
      <c r="E14" s="223">
        <f>IF(E13="","",E13-E12)</f>
      </c>
      <c r="F14" s="224"/>
      <c r="G14" s="218">
        <f>IF(ISBLANK(Prediction!H25),"",G13-G12)</f>
        <v>-14.633333333333361</v>
      </c>
      <c r="H14" s="283"/>
      <c r="I14" s="229">
        <f>IF(I13="","",I13-I12)</f>
      </c>
      <c r="J14" s="230"/>
      <c r="P14" s="2"/>
      <c r="Q14" s="2"/>
      <c r="R14" s="2"/>
      <c r="S14" s="2"/>
      <c r="T14" s="2"/>
      <c r="U14" s="2"/>
      <c r="V14" s="2"/>
      <c r="W14" s="2"/>
    </row>
    <row r="17" ht="12.75">
      <c r="A17" s="284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2003-07-03T05:01:59Z</dcterms:modified>
  <cp:category/>
  <cp:version/>
  <cp:contentType/>
  <cp:contentStatus/>
</cp:coreProperties>
</file>