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476" windowWidth="10125" windowHeight="15105" tabRatio="292" activeTab="0"/>
  </bookViews>
  <sheets>
    <sheet name="Sheet1" sheetId="1" r:id="rId1"/>
  </sheets>
  <definedNames>
    <definedName name="A">'Sheet1'!$F$131</definedName>
    <definedName name="B">'Sheet1'!$F$132</definedName>
    <definedName name="CC">'Sheet1'!$F$133</definedName>
    <definedName name="D">'Sheet1'!$F$134</definedName>
    <definedName name="E">'Sheet1'!$C$134</definedName>
    <definedName name="factor1">'Sheet1'!$F$135</definedName>
    <definedName name="factor2">'Sheet1'!$F$136</definedName>
    <definedName name="G">'Sheet1'!$C$135</definedName>
    <definedName name="Iww">'Sheet1'!$C$124</definedName>
    <definedName name="Kt">'Sheet1'!$C$125</definedName>
    <definedName name="L">'Sheet1'!$C$131</definedName>
    <definedName name="lambda">'Sheet1'!$C$137</definedName>
    <definedName name="mx">'Sheet1'!$C$132</definedName>
  </definedNames>
  <calcPr fullCalcOnLoad="1"/>
</workbook>
</file>

<file path=xl/sharedStrings.xml><?xml version="1.0" encoding="utf-8"?>
<sst xmlns="http://schemas.openxmlformats.org/spreadsheetml/2006/main" count="137" uniqueCount="108">
  <si>
    <t>GEOMETRY</t>
  </si>
  <si>
    <t>X</t>
  </si>
  <si>
    <t>Y</t>
  </si>
  <si>
    <t>S</t>
  </si>
  <si>
    <t>area segments in web</t>
  </si>
  <si>
    <t>area segments in flanges</t>
  </si>
  <si>
    <t>in^2</t>
  </si>
  <si>
    <t>x-moment</t>
  </si>
  <si>
    <t>y-moment</t>
  </si>
  <si>
    <t>Total Area</t>
  </si>
  <si>
    <t>x-centroid</t>
  </si>
  <si>
    <t>y-centroid</t>
  </si>
  <si>
    <t>Adjusted to Centroid</t>
  </si>
  <si>
    <t>x</t>
  </si>
  <si>
    <t>y</t>
  </si>
  <si>
    <t>Ix</t>
  </si>
  <si>
    <t>Iy</t>
  </si>
  <si>
    <t>area</t>
  </si>
  <si>
    <t xml:space="preserve">Iy = </t>
  </si>
  <si>
    <t>Check analytically:</t>
  </si>
  <si>
    <t xml:space="preserve">Ix = </t>
  </si>
  <si>
    <t>Cool!</t>
  </si>
  <si>
    <t>Ixy</t>
  </si>
  <si>
    <t>Ixy =</t>
  </si>
  <si>
    <t>(From symmetry)</t>
  </si>
  <si>
    <t>Totals -----&gt;</t>
  </si>
  <si>
    <t>Omegas</t>
  </si>
  <si>
    <t>w_c</t>
  </si>
  <si>
    <t>Iywc</t>
  </si>
  <si>
    <t>Ixwc</t>
  </si>
  <si>
    <t>xD =</t>
  </si>
  <si>
    <t xml:space="preserve">yD = </t>
  </si>
  <si>
    <t>These values</t>
  </si>
  <si>
    <t>make sense.</t>
  </si>
  <si>
    <t>Omega_D</t>
  </si>
  <si>
    <t>Q_Omega_D</t>
  </si>
  <si>
    <t>w_D</t>
  </si>
  <si>
    <t>Run Sum</t>
  </si>
  <si>
    <t>&lt;---</t>
  </si>
  <si>
    <t>Iww</t>
  </si>
  <si>
    <t>Ixwd</t>
  </si>
  <si>
    <t>Iywd</t>
  </si>
  <si>
    <t>flange</t>
  </si>
  <si>
    <t xml:space="preserve">web </t>
  </si>
  <si>
    <t>b/a</t>
  </si>
  <si>
    <t>beta-approx</t>
  </si>
  <si>
    <t>Kt</t>
  </si>
  <si>
    <t xml:space="preserve">Total Kt = </t>
  </si>
  <si>
    <t>&lt;--- Torsion Constant</t>
  </si>
  <si>
    <t>Summary:</t>
  </si>
  <si>
    <t>Area</t>
  </si>
  <si>
    <t>X-centroid</t>
  </si>
  <si>
    <t>Y-centroid</t>
  </si>
  <si>
    <t>Ixx</t>
  </si>
  <si>
    <t>Iyy</t>
  </si>
  <si>
    <t>Shear C. X</t>
  </si>
  <si>
    <t>Shear C. Y</t>
  </si>
  <si>
    <t>in</t>
  </si>
  <si>
    <t>inches from lower left corner</t>
  </si>
  <si>
    <t>in^4</t>
  </si>
  <si>
    <t>inches from centroid</t>
  </si>
  <si>
    <t>in^6</t>
  </si>
  <si>
    <t>CALCULATIONS OVER THE LENGTH</t>
  </si>
  <si>
    <t>L</t>
  </si>
  <si>
    <t>m</t>
  </si>
  <si>
    <t>ft-lb/foot</t>
  </si>
  <si>
    <t>in-lb/inch</t>
  </si>
  <si>
    <t>E</t>
  </si>
  <si>
    <t>psi</t>
  </si>
  <si>
    <t>G</t>
  </si>
  <si>
    <t>lambda</t>
  </si>
  <si>
    <t>A</t>
  </si>
  <si>
    <t>z</t>
  </si>
  <si>
    <t>phi</t>
  </si>
  <si>
    <t>phi_'</t>
  </si>
  <si>
    <t>phi_''</t>
  </si>
  <si>
    <t>phi_'''</t>
  </si>
  <si>
    <t>Mz</t>
  </si>
  <si>
    <t>mz</t>
  </si>
  <si>
    <t>(check)</t>
  </si>
  <si>
    <t>phi_''''</t>
  </si>
  <si>
    <t>Good!</t>
  </si>
  <si>
    <t>z/L = 0</t>
  </si>
  <si>
    <t>z/L = 1</t>
  </si>
  <si>
    <t>z/L = 1/2</t>
  </si>
  <si>
    <t>z/L = 1/4</t>
  </si>
  <si>
    <t>z/L = 3/4</t>
  </si>
  <si>
    <t>Qw</t>
  </si>
  <si>
    <t>Ixwd and Iywd</t>
  </si>
  <si>
    <t>ought to be zero.  Good.</t>
  </si>
  <si>
    <t>axial stress</t>
  </si>
  <si>
    <t>shear stress</t>
  </si>
  <si>
    <t>z/L = 0.25</t>
  </si>
  <si>
    <t>axial</t>
  </si>
  <si>
    <t>shear</t>
  </si>
  <si>
    <t>z/L = 0.5</t>
  </si>
  <si>
    <t>z/L = 0.75</t>
  </si>
  <si>
    <t>Channel made up of 2-inch segments</t>
  </si>
  <si>
    <t>Curvilinear coordinate S starts at upper right corner of channel and goes around counterclockwise</t>
  </si>
  <si>
    <t>Supplement to Problem Set 4</t>
  </si>
  <si>
    <t>Matt Greytak, March 5, 2003</t>
  </si>
  <si>
    <t>new Qw</t>
  </si>
  <si>
    <t>coefficients from mathcad (or paper solution)</t>
  </si>
  <si>
    <t>B</t>
  </si>
  <si>
    <t>C</t>
  </si>
  <si>
    <t>D</t>
  </si>
  <si>
    <t>factor1</t>
  </si>
  <si>
    <t>factor2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</si>
</sst>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.5"/>
      <name val="Verdana"/>
      <family val="0"/>
    </font>
    <font>
      <sz val="8.75"/>
      <name val="Verdana"/>
      <family val="0"/>
    </font>
    <font>
      <b/>
      <sz val="8.75"/>
      <name val="Verdana"/>
      <family val="0"/>
    </font>
    <font>
      <b/>
      <sz val="12.2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1" fontId="0" fillId="0" borderId="3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1" fontId="0" fillId="2" borderId="4" xfId="0" applyNumberFormat="1" applyFill="1" applyBorder="1" applyAlignment="1">
      <alignment/>
    </xf>
    <xf numFmtId="0" fontId="1" fillId="2" borderId="0" xfId="0" applyFont="1" applyFill="1" applyAlignment="1">
      <alignment/>
    </xf>
    <xf numFmtId="11" fontId="0" fillId="2" borderId="0" xfId="0" applyNumberFormat="1" applyFill="1" applyAlignment="1">
      <alignment/>
    </xf>
    <xf numFmtId="11" fontId="0" fillId="2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Channel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Sheet1!$C$12:$C$30</c:f>
              <c:numCache>
                <c:ptCount val="19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</c:numCache>
            </c:numRef>
          </c:xVal>
          <c:yVal>
            <c:numRef>
              <c:f>Sheet1!$D$12:$D$30</c:f>
              <c:numCache>
                <c:ptCount val="19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28042252"/>
        <c:axId val="51053677"/>
      </c:scatterChart>
      <c:valAx>
        <c:axId val="2804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X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1053677"/>
        <c:crosses val="autoZero"/>
        <c:crossBetween val="midCat"/>
        <c:dispUnits/>
      </c:val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Y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80422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Sheet1!$F$62</c:f>
              <c:strCache>
                <c:ptCount val="1"/>
                <c:pt idx="0">
                  <c:v>w_c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Sheet1!$F$63:$F$81</c:f>
              <c:numCache>
                <c:ptCount val="19"/>
                <c:pt idx="0">
                  <c:v>0</c:v>
                </c:pt>
                <c:pt idx="1">
                  <c:v>24.00000000000001</c:v>
                </c:pt>
                <c:pt idx="2">
                  <c:v>48.000000000000014</c:v>
                </c:pt>
                <c:pt idx="3">
                  <c:v>72.00000000000001</c:v>
                </c:pt>
                <c:pt idx="4">
                  <c:v>73.20000000000002</c:v>
                </c:pt>
                <c:pt idx="5">
                  <c:v>74.40000000000002</c:v>
                </c:pt>
                <c:pt idx="6">
                  <c:v>75.60000000000002</c:v>
                </c:pt>
                <c:pt idx="7">
                  <c:v>76.80000000000003</c:v>
                </c:pt>
                <c:pt idx="8">
                  <c:v>78.00000000000003</c:v>
                </c:pt>
                <c:pt idx="9">
                  <c:v>79.20000000000003</c:v>
                </c:pt>
                <c:pt idx="10">
                  <c:v>80.40000000000003</c:v>
                </c:pt>
                <c:pt idx="11">
                  <c:v>81.60000000000004</c:v>
                </c:pt>
                <c:pt idx="12">
                  <c:v>82.80000000000004</c:v>
                </c:pt>
                <c:pt idx="13">
                  <c:v>84.00000000000004</c:v>
                </c:pt>
                <c:pt idx="14">
                  <c:v>85.20000000000005</c:v>
                </c:pt>
                <c:pt idx="15">
                  <c:v>86.40000000000005</c:v>
                </c:pt>
                <c:pt idx="16">
                  <c:v>110.40000000000005</c:v>
                </c:pt>
                <c:pt idx="17">
                  <c:v>134.40000000000003</c:v>
                </c:pt>
                <c:pt idx="18">
                  <c:v>158.40000000000003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Sheet1!$J$62</c:f>
              <c:strCache>
                <c:ptCount val="1"/>
                <c:pt idx="0">
                  <c:v>Omega_D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Sheet1!$J$63:$J$81</c:f>
              <c:numCache>
                <c:ptCount val="19"/>
                <c:pt idx="0">
                  <c:v>0</c:v>
                </c:pt>
                <c:pt idx="1">
                  <c:v>24.00000000000001</c:v>
                </c:pt>
                <c:pt idx="2">
                  <c:v>48.000000000000014</c:v>
                </c:pt>
                <c:pt idx="3">
                  <c:v>72.00000000000001</c:v>
                </c:pt>
                <c:pt idx="4">
                  <c:v>69.42857142857144</c:v>
                </c:pt>
                <c:pt idx="5">
                  <c:v>66.85714285714288</c:v>
                </c:pt>
                <c:pt idx="6">
                  <c:v>64.2857142857143</c:v>
                </c:pt>
                <c:pt idx="7">
                  <c:v>61.71428571428574</c:v>
                </c:pt>
                <c:pt idx="8">
                  <c:v>59.14285714285717</c:v>
                </c:pt>
                <c:pt idx="9">
                  <c:v>56.57142857142859</c:v>
                </c:pt>
                <c:pt idx="10">
                  <c:v>54.00000000000003</c:v>
                </c:pt>
                <c:pt idx="11">
                  <c:v>51.42857142857146</c:v>
                </c:pt>
                <c:pt idx="12">
                  <c:v>48.85714285714288</c:v>
                </c:pt>
                <c:pt idx="13">
                  <c:v>46.28571428571431</c:v>
                </c:pt>
                <c:pt idx="14">
                  <c:v>43.714285714285744</c:v>
                </c:pt>
                <c:pt idx="15">
                  <c:v>41.142857142857174</c:v>
                </c:pt>
                <c:pt idx="16">
                  <c:v>65.14285714285717</c:v>
                </c:pt>
                <c:pt idx="17">
                  <c:v>89.14285714285717</c:v>
                </c:pt>
                <c:pt idx="18">
                  <c:v>113.14285714285717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Sheet1!$L$62</c:f>
              <c:strCache>
                <c:ptCount val="1"/>
                <c:pt idx="0">
                  <c:v>w_D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Sheet1!$L$63:$L$81</c:f>
              <c:numCache>
                <c:ptCount val="19"/>
                <c:pt idx="0">
                  <c:v>-56.571428571428584</c:v>
                </c:pt>
                <c:pt idx="1">
                  <c:v>-32.57142857142857</c:v>
                </c:pt>
                <c:pt idx="2">
                  <c:v>-8.57142857142857</c:v>
                </c:pt>
                <c:pt idx="3">
                  <c:v>15.42857142857143</c:v>
                </c:pt>
                <c:pt idx="4">
                  <c:v>12.857142857142861</c:v>
                </c:pt>
                <c:pt idx="5">
                  <c:v>10.285714285714292</c:v>
                </c:pt>
                <c:pt idx="6">
                  <c:v>7.714285714285722</c:v>
                </c:pt>
                <c:pt idx="7">
                  <c:v>5.142857142857153</c:v>
                </c:pt>
                <c:pt idx="8">
                  <c:v>2.5714285714285836</c:v>
                </c:pt>
                <c:pt idx="9">
                  <c:v>0</c:v>
                </c:pt>
                <c:pt idx="10">
                  <c:v>-2.571428571428555</c:v>
                </c:pt>
                <c:pt idx="11">
                  <c:v>-5.142857142857125</c:v>
                </c:pt>
                <c:pt idx="12">
                  <c:v>-7.714285714285701</c:v>
                </c:pt>
                <c:pt idx="13">
                  <c:v>-10.28571428571427</c:v>
                </c:pt>
                <c:pt idx="14">
                  <c:v>-12.85714285714284</c:v>
                </c:pt>
                <c:pt idx="15">
                  <c:v>-15.42857142857141</c:v>
                </c:pt>
                <c:pt idx="16">
                  <c:v>8.571428571428584</c:v>
                </c:pt>
                <c:pt idx="17">
                  <c:v>32.571428571428584</c:v>
                </c:pt>
                <c:pt idx="18">
                  <c:v>56.571428571428584</c:v>
                </c:pt>
              </c:numCache>
            </c:numRef>
          </c:yVal>
          <c:smooth val="0"/>
        </c:ser>
        <c:axId val="56829910"/>
        <c:axId val="41707143"/>
      </c:scatterChart>
      <c:valAx>
        <c:axId val="56829910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crossBetween val="midCat"/>
        <c:dispUnits/>
        <c:majorUnit val="6"/>
      </c:valAx>
      <c:valAx>
        <c:axId val="41707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Phi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Sheet1!$C$140</c:f>
              <c:strCache>
                <c:ptCount val="1"/>
                <c:pt idx="0">
                  <c:v>phi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</c:numCache>
            </c:numRef>
          </c:xVal>
          <c:yVal>
            <c:numRef>
              <c:f>Sheet1!$C$141:$C$161</c:f>
              <c:numCache>
                <c:ptCount val="21"/>
                <c:pt idx="0">
                  <c:v>0</c:v>
                </c:pt>
                <c:pt idx="1">
                  <c:v>0.002852551622519115</c:v>
                </c:pt>
                <c:pt idx="2">
                  <c:v>0.010607281240354581</c:v>
                </c:pt>
                <c:pt idx="3">
                  <c:v>0.022194988569120663</c:v>
                </c:pt>
                <c:pt idx="4">
                  <c:v>0.03670669124430185</c:v>
                </c:pt>
                <c:pt idx="5">
                  <c:v>0.053371729795821755</c:v>
                </c:pt>
                <c:pt idx="6">
                  <c:v>0.07153920446204924</c:v>
                </c:pt>
                <c:pt idx="7">
                  <c:v>0.09066229670428515</c:v>
                </c:pt>
                <c:pt idx="8">
                  <c:v>0.11028509776771214</c:v>
                </c:pt>
                <c:pt idx="9">
                  <c:v>0.13003162702303606</c:v>
                </c:pt>
                <c:pt idx="10">
                  <c:v>0.1495967755691763</c:v>
                </c:pt>
                <c:pt idx="11">
                  <c:v>0.16873895695190508</c:v>
                </c:pt>
                <c:pt idx="12">
                  <c:v>0.1872742879733264</c:v>
                </c:pt>
                <c:pt idx="13">
                  <c:v>0.2050721594230034</c:v>
                </c:pt>
                <c:pt idx="14">
                  <c:v>0.22205209004113863</c:v>
                </c:pt>
                <c:pt idx="15">
                  <c:v>0.23818178793395767</c:v>
                </c:pt>
                <c:pt idx="16">
                  <c:v>0.2534763727458206</c:v>
                </c:pt>
                <c:pt idx="17">
                  <c:v>0.2679987398521989</c:v>
                </c:pt>
                <c:pt idx="18">
                  <c:v>0.28186107534599936</c:v>
                </c:pt>
                <c:pt idx="19">
                  <c:v>0.29522755830929814</c:v>
                </c:pt>
                <c:pt idx="20">
                  <c:v>0.30831831546122557</c:v>
                </c:pt>
              </c:numCache>
            </c:numRef>
          </c:yVal>
          <c:smooth val="1"/>
        </c:ser>
        <c:axId val="39819968"/>
        <c:axId val="22835393"/>
      </c:scatterChart>
      <c:valAx>
        <c:axId val="39819968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5393"/>
        <c:crosses val="autoZero"/>
        <c:crossBetween val="midCat"/>
        <c:dispUnits/>
        <c:majorUnit val="40"/>
      </c:valAx>
      <c:valAx>
        <c:axId val="2283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9819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Phi Prime (dPhi/dz)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Sheet1!$D$140</c:f>
              <c:strCache>
                <c:ptCount val="1"/>
                <c:pt idx="0">
                  <c:v>phi_'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/>
            </c:numRef>
          </c:xVal>
          <c:yVal>
            <c:numRef>
              <c:f>Sheet1!$D$141:$D$161</c:f>
              <c:numCache/>
            </c:numRef>
          </c:yVal>
          <c:smooth val="1"/>
        </c:ser>
        <c:axId val="4191946"/>
        <c:axId val="37727515"/>
      </c:scatterChart>
      <c:valAx>
        <c:axId val="4191946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7515"/>
        <c:crosses val="autoZero"/>
        <c:crossBetween val="midCat"/>
        <c:dispUnits/>
        <c:majorUnit val="40"/>
      </c:val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Phi Prime (dPhi/dz)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4191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Moment Mz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Sheet1!$H$140</c:f>
              <c:strCache>
                <c:ptCount val="1"/>
                <c:pt idx="0">
                  <c:v>Mz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/>
            </c:numRef>
          </c:xVal>
          <c:yVal>
            <c:numRef>
              <c:f>Sheet1!$H$141:$H$161</c:f>
              <c:numCache/>
            </c:numRef>
          </c:yVal>
          <c:smooth val="1"/>
        </c:ser>
        <c:axId val="4003316"/>
        <c:axId val="36029845"/>
      </c:scatterChart>
      <c:valAx>
        <c:axId val="4003316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9845"/>
        <c:crosses val="autoZero"/>
        <c:crossBetween val="midCat"/>
        <c:dispUnits/>
        <c:majorUnit val="40"/>
      </c:valAx>
      <c:valAx>
        <c:axId val="360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Moment Mz (inch-pounds)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4003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Axial Stress versus S at Various Distances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Sheet1!$B$165</c:f>
              <c:strCache>
                <c:ptCount val="1"/>
                <c:pt idx="0">
                  <c:v>z/L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Sheet1!$B$167:$B$187</c:f>
              <c:numCache/>
            </c:numRef>
          </c:yVal>
          <c:smooth val="0"/>
        </c:ser>
        <c:ser>
          <c:idx val="2"/>
          <c:order val="1"/>
          <c:tx>
            <c:strRef>
              <c:f>Sheet1!$D$165</c:f>
              <c:strCache>
                <c:ptCount val="1"/>
                <c:pt idx="0">
                  <c:v>z/L = 0.25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Sheet1!$D$167:$D$187</c:f>
              <c:numCache/>
            </c:numRef>
          </c:yVal>
          <c:smooth val="0"/>
        </c:ser>
        <c:ser>
          <c:idx val="4"/>
          <c:order val="2"/>
          <c:tx>
            <c:strRef>
              <c:f>Sheet1!$F$165</c:f>
              <c:strCache>
                <c:ptCount val="1"/>
                <c:pt idx="0">
                  <c:v>z/L = 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Sheet1!$F$167:$F$187</c:f>
              <c:numCache/>
            </c:numRef>
          </c:yVal>
          <c:smooth val="0"/>
        </c:ser>
        <c:ser>
          <c:idx val="6"/>
          <c:order val="3"/>
          <c:tx>
            <c:strRef>
              <c:f>Sheet1!$H$165</c:f>
              <c:strCache>
                <c:ptCount val="1"/>
                <c:pt idx="0">
                  <c:v>z/L = 0.75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Sheet1!$H$167:$H$187</c:f>
              <c:numCache/>
            </c:numRef>
          </c:yVal>
          <c:smooth val="0"/>
        </c:ser>
        <c:ser>
          <c:idx val="8"/>
          <c:order val="4"/>
          <c:tx>
            <c:strRef>
              <c:f>Sheet1!$J$165</c:f>
              <c:strCache>
                <c:ptCount val="1"/>
                <c:pt idx="0">
                  <c:v>z/L =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Sheet1!$J$167:$J$187</c:f>
              <c:numCache/>
            </c:numRef>
          </c:yVal>
          <c:smooth val="0"/>
        </c:ser>
        <c:axId val="55833150"/>
        <c:axId val="32736303"/>
      </c:scatterChart>
      <c:valAx>
        <c:axId val="55833150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Distance S Around Channel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crossBetween val="midCat"/>
        <c:dispUnits/>
        <c:majorUnit val="6"/>
      </c:val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Axial 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33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Shear Stress versus S at Various Distances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Sheet1!$B$165</c:f>
              <c:strCache>
                <c:ptCount val="1"/>
                <c:pt idx="0">
                  <c:v>z/L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Sheet1!$C$167:$C$187</c:f>
              <c:numCache/>
            </c:numRef>
          </c:yVal>
          <c:smooth val="0"/>
        </c:ser>
        <c:ser>
          <c:idx val="2"/>
          <c:order val="1"/>
          <c:tx>
            <c:strRef>
              <c:f>Sheet1!$D$165</c:f>
              <c:strCache>
                <c:ptCount val="1"/>
                <c:pt idx="0">
                  <c:v>z/L = 0.25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Sheet1!$E$167:$E$187</c:f>
              <c:numCache/>
            </c:numRef>
          </c:yVal>
          <c:smooth val="0"/>
        </c:ser>
        <c:ser>
          <c:idx val="4"/>
          <c:order val="2"/>
          <c:tx>
            <c:strRef>
              <c:f>Sheet1!$F$165</c:f>
              <c:strCache>
                <c:ptCount val="1"/>
                <c:pt idx="0">
                  <c:v>z/L = 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Sheet1!$G$167:$G$187</c:f>
              <c:numCache/>
            </c:numRef>
          </c:yVal>
          <c:smooth val="0"/>
        </c:ser>
        <c:ser>
          <c:idx val="6"/>
          <c:order val="3"/>
          <c:tx>
            <c:strRef>
              <c:f>Sheet1!$H$165</c:f>
              <c:strCache>
                <c:ptCount val="1"/>
                <c:pt idx="0">
                  <c:v>z/L = 0.75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Sheet1!$I$167:$I$187</c:f>
              <c:numCache/>
            </c:numRef>
          </c:yVal>
          <c:smooth val="0"/>
        </c:ser>
        <c:ser>
          <c:idx val="8"/>
          <c:order val="4"/>
          <c:tx>
            <c:strRef>
              <c:f>Sheet1!$J$165</c:f>
              <c:strCache>
                <c:ptCount val="1"/>
                <c:pt idx="0">
                  <c:v>z/L =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Sheet1!$K$167:$K$187</c:f>
              <c:numCache/>
            </c:numRef>
          </c:yVal>
          <c:smooth val="0"/>
        </c:ser>
        <c:axId val="26191272"/>
        <c:axId val="34394857"/>
      </c:scatterChart>
      <c:valAx>
        <c:axId val="26191272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Distance S Around Channel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crossBetween val="midCat"/>
        <c:dispUnits/>
        <c:majorUnit val="6"/>
      </c:val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Shear 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91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Sheet1!$J$89</c:f>
              <c:strCache>
                <c:ptCount val="1"/>
                <c:pt idx="0">
                  <c:v>Qw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Sheet1!$B$90:$B$108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Sheet1!$J$91:$J$108</c:f>
              <c:numCache>
                <c:ptCount val="18"/>
                <c:pt idx="0">
                  <c:v>-26.742857142857144</c:v>
                </c:pt>
                <c:pt idx="1">
                  <c:v>-12.342857142857142</c:v>
                </c:pt>
                <c:pt idx="2">
                  <c:v>2.0571428571428583</c:v>
                </c:pt>
                <c:pt idx="3">
                  <c:v>16.971428571428575</c:v>
                </c:pt>
                <c:pt idx="4">
                  <c:v>13.885714285714291</c:v>
                </c:pt>
                <c:pt idx="5">
                  <c:v>10.800000000000008</c:v>
                </c:pt>
                <c:pt idx="6">
                  <c:v>7.714285714285725</c:v>
                </c:pt>
                <c:pt idx="7">
                  <c:v>4.628571428571441</c:v>
                </c:pt>
                <c:pt idx="8">
                  <c:v>1.54285714285715</c:v>
                </c:pt>
                <c:pt idx="9">
                  <c:v>-1.5428571428571332</c:v>
                </c:pt>
                <c:pt idx="10">
                  <c:v>-4.628571428571408</c:v>
                </c:pt>
                <c:pt idx="11">
                  <c:v>-7.714285714285695</c:v>
                </c:pt>
                <c:pt idx="12">
                  <c:v>-10.799999999999983</c:v>
                </c:pt>
                <c:pt idx="13">
                  <c:v>-13.885714285714267</c:v>
                </c:pt>
                <c:pt idx="14">
                  <c:v>-16.97142857142855</c:v>
                </c:pt>
                <c:pt idx="15">
                  <c:v>-2.0571428571428476</c:v>
                </c:pt>
                <c:pt idx="16">
                  <c:v>12.34285714285715</c:v>
                </c:pt>
                <c:pt idx="17">
                  <c:v>26.74285714285715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Sheet1!$K$89</c:f>
              <c:strCache>
                <c:ptCount val="1"/>
                <c:pt idx="0">
                  <c:v>new Qw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Sheet1!$B$90:$B$108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Sheet1!$K$90:$K$108</c:f>
              <c:numCache>
                <c:ptCount val="19"/>
                <c:pt idx="0">
                  <c:v>0</c:v>
                </c:pt>
                <c:pt idx="1">
                  <c:v>-26.742857142857144</c:v>
                </c:pt>
                <c:pt idx="2">
                  <c:v>-39.08571428571429</c:v>
                </c:pt>
                <c:pt idx="3">
                  <c:v>-37.02857142857143</c:v>
                </c:pt>
                <c:pt idx="4">
                  <c:v>-20.057142857142857</c:v>
                </c:pt>
                <c:pt idx="5">
                  <c:v>-6.1714285714285655</c:v>
                </c:pt>
                <c:pt idx="6">
                  <c:v>4.628571428571442</c:v>
                </c:pt>
                <c:pt idx="7">
                  <c:v>12.342857142857167</c:v>
                </c:pt>
                <c:pt idx="8">
                  <c:v>16.971428571428607</c:v>
                </c:pt>
                <c:pt idx="9">
                  <c:v>18.51428571428576</c:v>
                </c:pt>
                <c:pt idx="10">
                  <c:v>16.971428571428625</c:v>
                </c:pt>
                <c:pt idx="11">
                  <c:v>12.342857142857216</c:v>
                </c:pt>
                <c:pt idx="12">
                  <c:v>4.628571428571521</c:v>
                </c:pt>
                <c:pt idx="13">
                  <c:v>-6.171428571428462</c:v>
                </c:pt>
                <c:pt idx="14">
                  <c:v>-20.05714285714273</c:v>
                </c:pt>
                <c:pt idx="15">
                  <c:v>-37.02857142857128</c:v>
                </c:pt>
                <c:pt idx="16">
                  <c:v>-39.08571428571413</c:v>
                </c:pt>
                <c:pt idx="17">
                  <c:v>-26.742857142856984</c:v>
                </c:pt>
                <c:pt idx="18">
                  <c:v>1.6697754290362354E-13</c:v>
                </c:pt>
              </c:numCache>
            </c:numRef>
          </c:yVal>
          <c:smooth val="1"/>
        </c:ser>
        <c:axId val="41118258"/>
        <c:axId val="34520003"/>
      </c:scatterChart>
      <c:val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0003"/>
        <c:crosses val="autoZero"/>
        <c:crossBetween val="midCat"/>
        <c:dispUnits/>
      </c:valAx>
      <c:valAx>
        <c:axId val="34520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3</xdr:row>
      <xdr:rowOff>28575</xdr:rowOff>
    </xdr:from>
    <xdr:to>
      <xdr:col>11</xdr:col>
      <xdr:colOff>542925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8134350" y="514350"/>
        <a:ext cx="15906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60</xdr:row>
      <xdr:rowOff>95250</xdr:rowOff>
    </xdr:from>
    <xdr:to>
      <xdr:col>18</xdr:col>
      <xdr:colOff>514350</xdr:colOff>
      <xdr:row>83</xdr:row>
      <xdr:rowOff>95250</xdr:rowOff>
    </xdr:to>
    <xdr:graphicFrame>
      <xdr:nvGraphicFramePr>
        <xdr:cNvPr id="2" name="Chart 2"/>
        <xdr:cNvGraphicFramePr/>
      </xdr:nvGraphicFramePr>
      <xdr:xfrm>
        <a:off x="10106025" y="9810750"/>
        <a:ext cx="54578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115</xdr:row>
      <xdr:rowOff>47625</xdr:rowOff>
    </xdr:from>
    <xdr:to>
      <xdr:col>15</xdr:col>
      <xdr:colOff>666750</xdr:colOff>
      <xdr:row>138</xdr:row>
      <xdr:rowOff>47625</xdr:rowOff>
    </xdr:to>
    <xdr:graphicFrame>
      <xdr:nvGraphicFramePr>
        <xdr:cNvPr id="3" name="Chart 3"/>
        <xdr:cNvGraphicFramePr/>
      </xdr:nvGraphicFramePr>
      <xdr:xfrm>
        <a:off x="7753350" y="18669000"/>
        <a:ext cx="54483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139</xdr:row>
      <xdr:rowOff>66675</xdr:rowOff>
    </xdr:from>
    <xdr:to>
      <xdr:col>15</xdr:col>
      <xdr:colOff>685800</xdr:colOff>
      <xdr:row>162</xdr:row>
      <xdr:rowOff>76200</xdr:rowOff>
    </xdr:to>
    <xdr:graphicFrame>
      <xdr:nvGraphicFramePr>
        <xdr:cNvPr id="4" name="Chart 4"/>
        <xdr:cNvGraphicFramePr/>
      </xdr:nvGraphicFramePr>
      <xdr:xfrm>
        <a:off x="7753350" y="22574250"/>
        <a:ext cx="546735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162</xdr:row>
      <xdr:rowOff>114300</xdr:rowOff>
    </xdr:from>
    <xdr:to>
      <xdr:col>17</xdr:col>
      <xdr:colOff>790575</xdr:colOff>
      <xdr:row>187</xdr:row>
      <xdr:rowOff>133350</xdr:rowOff>
    </xdr:to>
    <xdr:graphicFrame>
      <xdr:nvGraphicFramePr>
        <xdr:cNvPr id="5" name="Chart 5"/>
        <xdr:cNvGraphicFramePr/>
      </xdr:nvGraphicFramePr>
      <xdr:xfrm>
        <a:off x="9525000" y="26346150"/>
        <a:ext cx="5476875" cy="4067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188</xdr:row>
      <xdr:rowOff>28575</xdr:rowOff>
    </xdr:from>
    <xdr:to>
      <xdr:col>6</xdr:col>
      <xdr:colOff>571500</xdr:colOff>
      <xdr:row>211</xdr:row>
      <xdr:rowOff>28575</xdr:rowOff>
    </xdr:to>
    <xdr:graphicFrame>
      <xdr:nvGraphicFramePr>
        <xdr:cNvPr id="6" name="Chart 6"/>
        <xdr:cNvGraphicFramePr/>
      </xdr:nvGraphicFramePr>
      <xdr:xfrm>
        <a:off x="152400" y="30470475"/>
        <a:ext cx="542925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188</xdr:row>
      <xdr:rowOff>0</xdr:rowOff>
    </xdr:from>
    <xdr:to>
      <xdr:col>13</xdr:col>
      <xdr:colOff>438150</xdr:colOff>
      <xdr:row>211</xdr:row>
      <xdr:rowOff>9525</xdr:rowOff>
    </xdr:to>
    <xdr:graphicFrame>
      <xdr:nvGraphicFramePr>
        <xdr:cNvPr id="7" name="Chart 7"/>
        <xdr:cNvGraphicFramePr/>
      </xdr:nvGraphicFramePr>
      <xdr:xfrm>
        <a:off x="5829300" y="30441900"/>
        <a:ext cx="546735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85725</xdr:colOff>
      <xdr:row>193</xdr:row>
      <xdr:rowOff>152400</xdr:rowOff>
    </xdr:from>
    <xdr:to>
      <xdr:col>2</xdr:col>
      <xdr:colOff>85725</xdr:colOff>
      <xdr:row>206</xdr:row>
      <xdr:rowOff>85725</xdr:rowOff>
    </xdr:to>
    <xdr:sp>
      <xdr:nvSpPr>
        <xdr:cNvPr id="8" name="Line 8"/>
        <xdr:cNvSpPr>
          <a:spLocks/>
        </xdr:cNvSpPr>
      </xdr:nvSpPr>
      <xdr:spPr>
        <a:xfrm>
          <a:off x="1762125" y="3140392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495300</xdr:colOff>
      <xdr:row>193</xdr:row>
      <xdr:rowOff>123825</xdr:rowOff>
    </xdr:from>
    <xdr:to>
      <xdr:col>4</xdr:col>
      <xdr:colOff>495300</xdr:colOff>
      <xdr:row>206</xdr:row>
      <xdr:rowOff>38100</xdr:rowOff>
    </xdr:to>
    <xdr:sp>
      <xdr:nvSpPr>
        <xdr:cNvPr id="9" name="Line 9"/>
        <xdr:cNvSpPr>
          <a:spLocks/>
        </xdr:cNvSpPr>
      </xdr:nvSpPr>
      <xdr:spPr>
        <a:xfrm>
          <a:off x="3848100" y="313753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762000</xdr:colOff>
      <xdr:row>194</xdr:row>
      <xdr:rowOff>28575</xdr:rowOff>
    </xdr:from>
    <xdr:to>
      <xdr:col>8</xdr:col>
      <xdr:colOff>762000</xdr:colOff>
      <xdr:row>206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7429500" y="314420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352425</xdr:colOff>
      <xdr:row>194</xdr:row>
      <xdr:rowOff>28575</xdr:rowOff>
    </xdr:from>
    <xdr:to>
      <xdr:col>11</xdr:col>
      <xdr:colOff>352425</xdr:colOff>
      <xdr:row>206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9534525" y="314420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466725</xdr:colOff>
      <xdr:row>202</xdr:row>
      <xdr:rowOff>123825</xdr:rowOff>
    </xdr:from>
    <xdr:ext cx="457200" cy="361950"/>
    <xdr:sp>
      <xdr:nvSpPr>
        <xdr:cNvPr id="12" name="TextBox 12"/>
        <xdr:cNvSpPr txBox="1">
          <a:spLocks noChangeArrowheads="1"/>
        </xdr:cNvSpPr>
      </xdr:nvSpPr>
      <xdr:spPr>
        <a:xfrm>
          <a:off x="1304925" y="328326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upper
flange</a:t>
          </a:r>
        </a:p>
      </xdr:txBody>
    </xdr:sp>
    <xdr:clientData/>
  </xdr:oneCellAnchor>
  <xdr:oneCellAnchor>
    <xdr:from>
      <xdr:col>3</xdr:col>
      <xdr:colOff>0</xdr:colOff>
      <xdr:row>203</xdr:row>
      <xdr:rowOff>114300</xdr:rowOff>
    </xdr:from>
    <xdr:ext cx="333375" cy="200025"/>
    <xdr:sp>
      <xdr:nvSpPr>
        <xdr:cNvPr id="13" name="TextBox 13"/>
        <xdr:cNvSpPr txBox="1">
          <a:spLocks noChangeArrowheads="1"/>
        </xdr:cNvSpPr>
      </xdr:nvSpPr>
      <xdr:spPr>
        <a:xfrm>
          <a:off x="2514600" y="329850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web</a:t>
          </a:r>
        </a:p>
      </xdr:txBody>
    </xdr:sp>
    <xdr:clientData/>
  </xdr:oneCellAnchor>
  <xdr:oneCellAnchor>
    <xdr:from>
      <xdr:col>4</xdr:col>
      <xdr:colOff>561975</xdr:colOff>
      <xdr:row>194</xdr:row>
      <xdr:rowOff>0</xdr:rowOff>
    </xdr:from>
    <xdr:ext cx="457200" cy="361950"/>
    <xdr:sp>
      <xdr:nvSpPr>
        <xdr:cNvPr id="14" name="TextBox 14"/>
        <xdr:cNvSpPr txBox="1">
          <a:spLocks noChangeArrowheads="1"/>
        </xdr:cNvSpPr>
      </xdr:nvSpPr>
      <xdr:spPr>
        <a:xfrm>
          <a:off x="3914775" y="31413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lower
flange</a:t>
          </a:r>
        </a:p>
      </xdr:txBody>
    </xdr:sp>
    <xdr:clientData/>
  </xdr:oneCellAnchor>
  <xdr:oneCellAnchor>
    <xdr:from>
      <xdr:col>8</xdr:col>
      <xdr:colOff>276225</xdr:colOff>
      <xdr:row>203</xdr:row>
      <xdr:rowOff>66675</xdr:rowOff>
    </xdr:from>
    <xdr:ext cx="457200" cy="361950"/>
    <xdr:sp>
      <xdr:nvSpPr>
        <xdr:cNvPr id="15" name="TextBox 15"/>
        <xdr:cNvSpPr txBox="1">
          <a:spLocks noChangeArrowheads="1"/>
        </xdr:cNvSpPr>
      </xdr:nvSpPr>
      <xdr:spPr>
        <a:xfrm>
          <a:off x="6943725" y="32937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upper
flange</a:t>
          </a:r>
        </a:p>
      </xdr:txBody>
    </xdr:sp>
    <xdr:clientData/>
  </xdr:oneCellAnchor>
  <xdr:oneCellAnchor>
    <xdr:from>
      <xdr:col>9</xdr:col>
      <xdr:colOff>704850</xdr:colOff>
      <xdr:row>195</xdr:row>
      <xdr:rowOff>0</xdr:rowOff>
    </xdr:from>
    <xdr:ext cx="333375" cy="200025"/>
    <xdr:sp>
      <xdr:nvSpPr>
        <xdr:cNvPr id="16" name="TextBox 16"/>
        <xdr:cNvSpPr txBox="1">
          <a:spLocks noChangeArrowheads="1"/>
        </xdr:cNvSpPr>
      </xdr:nvSpPr>
      <xdr:spPr>
        <a:xfrm>
          <a:off x="8210550" y="315753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web</a:t>
          </a:r>
        </a:p>
      </xdr:txBody>
    </xdr:sp>
    <xdr:clientData/>
  </xdr:oneCellAnchor>
  <xdr:oneCellAnchor>
    <xdr:from>
      <xdr:col>11</xdr:col>
      <xdr:colOff>400050</xdr:colOff>
      <xdr:row>194</xdr:row>
      <xdr:rowOff>85725</xdr:rowOff>
    </xdr:from>
    <xdr:ext cx="457200" cy="361950"/>
    <xdr:sp>
      <xdr:nvSpPr>
        <xdr:cNvPr id="17" name="TextBox 17"/>
        <xdr:cNvSpPr txBox="1">
          <a:spLocks noChangeArrowheads="1"/>
        </xdr:cNvSpPr>
      </xdr:nvSpPr>
      <xdr:spPr>
        <a:xfrm>
          <a:off x="9582150" y="314991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lower
flange</a:t>
          </a:r>
        </a:p>
      </xdr:txBody>
    </xdr:sp>
    <xdr:clientData/>
  </xdr:oneCellAnchor>
  <xdr:twoCellAnchor>
    <xdr:from>
      <xdr:col>11</xdr:col>
      <xdr:colOff>371475</xdr:colOff>
      <xdr:row>92</xdr:row>
      <xdr:rowOff>9525</xdr:rowOff>
    </xdr:from>
    <xdr:to>
      <xdr:col>16</xdr:col>
      <xdr:colOff>171450</xdr:colOff>
      <xdr:row>106</xdr:row>
      <xdr:rowOff>76200</xdr:rowOff>
    </xdr:to>
    <xdr:graphicFrame>
      <xdr:nvGraphicFramePr>
        <xdr:cNvPr id="18" name="Chart 18"/>
        <xdr:cNvGraphicFramePr/>
      </xdr:nvGraphicFramePr>
      <xdr:xfrm>
        <a:off x="9553575" y="14906625"/>
        <a:ext cx="399097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 topLeftCell="A155">
      <selection activeCell="G185" sqref="G185"/>
    </sheetView>
  </sheetViews>
  <sheetFormatPr defaultColWidth="9.00390625" defaultRowHeight="12.75"/>
  <cols>
    <col min="1" max="5" width="11.00390625" style="0" customWidth="1"/>
    <col min="6" max="7" width="10.75390625" style="0" customWidth="1"/>
    <col min="8" max="16384" width="11.00390625" style="0" customWidth="1"/>
  </cols>
  <sheetData>
    <row r="1" ht="12.75">
      <c r="A1" t="s">
        <v>99</v>
      </c>
    </row>
    <row r="2" ht="12.75">
      <c r="A2" t="s">
        <v>100</v>
      </c>
    </row>
    <row r="4" spans="1:2" ht="12.75">
      <c r="A4" s="1" t="s">
        <v>0</v>
      </c>
      <c r="B4" t="s">
        <v>97</v>
      </c>
    </row>
    <row r="5" spans="1:2" ht="12.75">
      <c r="A5" s="1"/>
      <c r="B5" t="s">
        <v>98</v>
      </c>
    </row>
    <row r="6" ht="12.75">
      <c r="A6" s="1"/>
    </row>
    <row r="7" spans="2:5" ht="12.75">
      <c r="B7" t="s">
        <v>5</v>
      </c>
      <c r="D7">
        <f>0.3*2</f>
        <v>0.6</v>
      </c>
      <c r="E7" t="s">
        <v>6</v>
      </c>
    </row>
    <row r="8" spans="2:5" ht="12.75">
      <c r="B8" t="s">
        <v>4</v>
      </c>
      <c r="D8">
        <f>0.6*2</f>
        <v>1.2</v>
      </c>
      <c r="E8" t="s">
        <v>6</v>
      </c>
    </row>
    <row r="9" spans="2:5" ht="12.75">
      <c r="B9" t="s">
        <v>9</v>
      </c>
      <c r="D9">
        <f>6*D7+12*D8</f>
        <v>18</v>
      </c>
      <c r="E9" t="s">
        <v>6</v>
      </c>
    </row>
    <row r="11" spans="2:6" ht="12.75">
      <c r="B11" s="1" t="s">
        <v>3</v>
      </c>
      <c r="C11" s="1" t="s">
        <v>1</v>
      </c>
      <c r="D11" s="1" t="s">
        <v>2</v>
      </c>
      <c r="E11" s="1" t="s">
        <v>7</v>
      </c>
      <c r="F11" s="1" t="s">
        <v>8</v>
      </c>
    </row>
    <row r="12" spans="2:4" ht="12.75">
      <c r="B12">
        <v>0</v>
      </c>
      <c r="C12">
        <v>6</v>
      </c>
      <c r="D12">
        <v>24</v>
      </c>
    </row>
    <row r="13" spans="2:6" ht="12.75">
      <c r="B13">
        <v>2</v>
      </c>
      <c r="C13">
        <v>4</v>
      </c>
      <c r="D13">
        <v>24</v>
      </c>
      <c r="E13">
        <f aca="true" t="shared" si="0" ref="E13:F15">0.5*(C12+C13)*$D$7</f>
        <v>3</v>
      </c>
      <c r="F13">
        <f t="shared" si="0"/>
        <v>14.399999999999999</v>
      </c>
    </row>
    <row r="14" spans="2:6" ht="12.75">
      <c r="B14">
        <v>4</v>
      </c>
      <c r="C14">
        <v>2</v>
      </c>
      <c r="D14">
        <v>24</v>
      </c>
      <c r="E14">
        <f t="shared" si="0"/>
        <v>1.7999999999999998</v>
      </c>
      <c r="F14">
        <f t="shared" si="0"/>
        <v>14.399999999999999</v>
      </c>
    </row>
    <row r="15" spans="2:6" ht="12.75">
      <c r="B15">
        <v>6</v>
      </c>
      <c r="C15">
        <v>0</v>
      </c>
      <c r="D15">
        <v>24</v>
      </c>
      <c r="E15">
        <f t="shared" si="0"/>
        <v>0.6</v>
      </c>
      <c r="F15">
        <f t="shared" si="0"/>
        <v>14.399999999999999</v>
      </c>
    </row>
    <row r="16" spans="2:6" ht="12.75">
      <c r="B16">
        <v>8</v>
      </c>
      <c r="C16">
        <v>0</v>
      </c>
      <c r="D16">
        <v>22</v>
      </c>
      <c r="E16">
        <f>0.5*(C15+C16)*$D$8</f>
        <v>0</v>
      </c>
      <c r="F16">
        <f>0.5*(D15+D16)*$D$8</f>
        <v>27.599999999999998</v>
      </c>
    </row>
    <row r="17" spans="2:6" ht="12.75">
      <c r="B17">
        <v>10</v>
      </c>
      <c r="C17">
        <v>0</v>
      </c>
      <c r="D17">
        <v>20</v>
      </c>
      <c r="E17">
        <f aca="true" t="shared" si="1" ref="E17:F27">0.5*(C16+C17)*$D$8</f>
        <v>0</v>
      </c>
      <c r="F17">
        <f t="shared" si="1"/>
        <v>25.2</v>
      </c>
    </row>
    <row r="18" spans="2:6" ht="12.75">
      <c r="B18">
        <v>12</v>
      </c>
      <c r="C18">
        <v>0</v>
      </c>
      <c r="D18">
        <v>18</v>
      </c>
      <c r="E18">
        <f t="shared" si="1"/>
        <v>0</v>
      </c>
      <c r="F18">
        <f t="shared" si="1"/>
        <v>22.8</v>
      </c>
    </row>
    <row r="19" spans="2:6" ht="12.75">
      <c r="B19">
        <v>14</v>
      </c>
      <c r="C19">
        <v>0</v>
      </c>
      <c r="D19">
        <v>16</v>
      </c>
      <c r="E19">
        <f t="shared" si="1"/>
        <v>0</v>
      </c>
      <c r="F19">
        <f t="shared" si="1"/>
        <v>20.4</v>
      </c>
    </row>
    <row r="20" spans="2:6" ht="12.75">
      <c r="B20">
        <v>16</v>
      </c>
      <c r="C20">
        <v>0</v>
      </c>
      <c r="D20">
        <v>14</v>
      </c>
      <c r="E20">
        <f t="shared" si="1"/>
        <v>0</v>
      </c>
      <c r="F20">
        <f t="shared" si="1"/>
        <v>18</v>
      </c>
    </row>
    <row r="21" spans="2:6" ht="12.75">
      <c r="B21">
        <v>18</v>
      </c>
      <c r="C21">
        <v>0</v>
      </c>
      <c r="D21">
        <v>12</v>
      </c>
      <c r="E21">
        <f t="shared" si="1"/>
        <v>0</v>
      </c>
      <c r="F21">
        <f t="shared" si="1"/>
        <v>15.6</v>
      </c>
    </row>
    <row r="22" spans="2:6" ht="12.75">
      <c r="B22">
        <v>20</v>
      </c>
      <c r="C22">
        <v>0</v>
      </c>
      <c r="D22">
        <v>10</v>
      </c>
      <c r="E22">
        <f t="shared" si="1"/>
        <v>0</v>
      </c>
      <c r="F22">
        <f t="shared" si="1"/>
        <v>13.2</v>
      </c>
    </row>
    <row r="23" spans="2:6" ht="12.75">
      <c r="B23">
        <v>22</v>
      </c>
      <c r="C23">
        <v>0</v>
      </c>
      <c r="D23">
        <v>8</v>
      </c>
      <c r="E23">
        <f t="shared" si="1"/>
        <v>0</v>
      </c>
      <c r="F23">
        <f t="shared" si="1"/>
        <v>10.799999999999999</v>
      </c>
    </row>
    <row r="24" spans="2:6" ht="12.75">
      <c r="B24">
        <v>24</v>
      </c>
      <c r="C24">
        <v>0</v>
      </c>
      <c r="D24">
        <v>6</v>
      </c>
      <c r="E24">
        <f t="shared" si="1"/>
        <v>0</v>
      </c>
      <c r="F24">
        <f t="shared" si="1"/>
        <v>8.4</v>
      </c>
    </row>
    <row r="25" spans="2:6" ht="12.75">
      <c r="B25">
        <v>26</v>
      </c>
      <c r="C25">
        <v>0</v>
      </c>
      <c r="D25">
        <v>4</v>
      </c>
      <c r="E25">
        <f t="shared" si="1"/>
        <v>0</v>
      </c>
      <c r="F25">
        <f t="shared" si="1"/>
        <v>6</v>
      </c>
    </row>
    <row r="26" spans="2:6" ht="12.75">
      <c r="B26">
        <v>28</v>
      </c>
      <c r="C26">
        <v>0</v>
      </c>
      <c r="D26">
        <v>2</v>
      </c>
      <c r="E26">
        <f t="shared" si="1"/>
        <v>0</v>
      </c>
      <c r="F26">
        <f t="shared" si="1"/>
        <v>3.5999999999999996</v>
      </c>
    </row>
    <row r="27" spans="2:6" ht="12.75">
      <c r="B27">
        <v>30</v>
      </c>
      <c r="C27">
        <v>0</v>
      </c>
      <c r="D27">
        <v>0</v>
      </c>
      <c r="E27">
        <f t="shared" si="1"/>
        <v>0</v>
      </c>
      <c r="F27">
        <f t="shared" si="1"/>
        <v>1.2</v>
      </c>
    </row>
    <row r="28" spans="2:6" ht="12.75">
      <c r="B28">
        <v>32</v>
      </c>
      <c r="C28">
        <v>2</v>
      </c>
      <c r="D28">
        <v>0</v>
      </c>
      <c r="E28">
        <f aca="true" t="shared" si="2" ref="E28:F30">0.5*(C27+C28)*$D$7</f>
        <v>0.6</v>
      </c>
      <c r="F28">
        <f t="shared" si="2"/>
        <v>0</v>
      </c>
    </row>
    <row r="29" spans="2:6" ht="12.75">
      <c r="B29">
        <v>34</v>
      </c>
      <c r="C29">
        <v>4</v>
      </c>
      <c r="D29">
        <v>0</v>
      </c>
      <c r="E29">
        <f t="shared" si="2"/>
        <v>1.7999999999999998</v>
      </c>
      <c r="F29">
        <f t="shared" si="2"/>
        <v>0</v>
      </c>
    </row>
    <row r="30" spans="2:6" ht="12.75">
      <c r="B30">
        <v>36</v>
      </c>
      <c r="C30">
        <v>6</v>
      </c>
      <c r="D30">
        <v>0</v>
      </c>
      <c r="E30">
        <f t="shared" si="2"/>
        <v>3</v>
      </c>
      <c r="F30">
        <f t="shared" si="2"/>
        <v>0</v>
      </c>
    </row>
    <row r="31" spans="5:6" ht="12.75">
      <c r="E31">
        <f>SUM(E12:E30)</f>
        <v>10.799999999999999</v>
      </c>
      <c r="F31">
        <f>SUM(F12:F30)</f>
        <v>215.99999999999997</v>
      </c>
    </row>
    <row r="32" spans="2:3" ht="12.75">
      <c r="B32" s="1" t="s">
        <v>10</v>
      </c>
      <c r="C32" s="1">
        <f>E31/D9</f>
        <v>0.6</v>
      </c>
    </row>
    <row r="33" spans="2:3" ht="12.75">
      <c r="B33" s="1" t="s">
        <v>11</v>
      </c>
      <c r="C33" s="1">
        <f>F31/D9</f>
        <v>11.999999999999998</v>
      </c>
    </row>
    <row r="35" ht="12.75">
      <c r="B35" s="1" t="s">
        <v>12</v>
      </c>
    </row>
    <row r="37" spans="2:8" ht="12.75">
      <c r="B37" s="1" t="s">
        <v>3</v>
      </c>
      <c r="C37" s="1" t="s">
        <v>13</v>
      </c>
      <c r="D37" s="1" t="s">
        <v>14</v>
      </c>
      <c r="E37" s="1" t="s">
        <v>17</v>
      </c>
      <c r="F37" s="1" t="s">
        <v>16</v>
      </c>
      <c r="G37" s="1" t="s">
        <v>15</v>
      </c>
      <c r="H37" s="1" t="s">
        <v>22</v>
      </c>
    </row>
    <row r="38" spans="2:4" ht="12.75">
      <c r="B38">
        <f>B12</f>
        <v>0</v>
      </c>
      <c r="C38">
        <f>C12-$C$32</f>
        <v>5.4</v>
      </c>
      <c r="D38">
        <f>D12-$C$33</f>
        <v>12.000000000000002</v>
      </c>
    </row>
    <row r="39" spans="2:8" ht="12.75">
      <c r="B39">
        <f aca="true" t="shared" si="3" ref="B39:B56">B13</f>
        <v>2</v>
      </c>
      <c r="C39">
        <f aca="true" t="shared" si="4" ref="C39:C56">C13-$C$32</f>
        <v>3.4</v>
      </c>
      <c r="D39">
        <f aca="true" t="shared" si="5" ref="D39:D56">D13-$C$33</f>
        <v>12.000000000000002</v>
      </c>
      <c r="E39">
        <f>$D$7</f>
        <v>0.6</v>
      </c>
      <c r="F39">
        <f>($E39/3)*(C38*C38+C38*C39+C39*C39)</f>
        <v>11.815999999999999</v>
      </c>
      <c r="G39">
        <f>($E39/3)*(D38*D38+D38*D39+D39*D39)</f>
        <v>86.40000000000002</v>
      </c>
      <c r="H39">
        <f>(E39/6)*(2*(C39*D39+C38*D38)+C38*D39+C39*D38)</f>
        <v>31.680000000000003</v>
      </c>
    </row>
    <row r="40" spans="2:8" ht="12.75">
      <c r="B40">
        <f t="shared" si="3"/>
        <v>4</v>
      </c>
      <c r="C40">
        <f t="shared" si="4"/>
        <v>1.4</v>
      </c>
      <c r="D40">
        <f t="shared" si="5"/>
        <v>12.000000000000002</v>
      </c>
      <c r="E40">
        <f>$D$7</f>
        <v>0.6</v>
      </c>
      <c r="F40">
        <f aca="true" t="shared" si="6" ref="F40:G56">($E40/3)*(C39*C39+C39*C40+C40*C40)</f>
        <v>3.656</v>
      </c>
      <c r="G40">
        <f t="shared" si="6"/>
        <v>86.40000000000002</v>
      </c>
      <c r="H40">
        <f aca="true" t="shared" si="7" ref="H40:H56">(E40/6)*(2*(C40*D40+C39*D39)+C39*D40+C40*D39)</f>
        <v>17.28</v>
      </c>
    </row>
    <row r="41" spans="2:8" ht="12.75">
      <c r="B41">
        <f t="shared" si="3"/>
        <v>6</v>
      </c>
      <c r="C41">
        <f t="shared" si="4"/>
        <v>-0.6</v>
      </c>
      <c r="D41">
        <f t="shared" si="5"/>
        <v>12.000000000000002</v>
      </c>
      <c r="E41">
        <f>$D$7</f>
        <v>0.6</v>
      </c>
      <c r="F41">
        <f t="shared" si="6"/>
        <v>0.2959999999999999</v>
      </c>
      <c r="G41">
        <f t="shared" si="6"/>
        <v>86.40000000000002</v>
      </c>
      <c r="H41">
        <f t="shared" si="7"/>
        <v>2.8799999999999994</v>
      </c>
    </row>
    <row r="42" spans="2:8" ht="12.75">
      <c r="B42">
        <f t="shared" si="3"/>
        <v>8</v>
      </c>
      <c r="C42">
        <f t="shared" si="4"/>
        <v>-0.6</v>
      </c>
      <c r="D42">
        <f t="shared" si="5"/>
        <v>10.000000000000002</v>
      </c>
      <c r="E42">
        <f>$D$8</f>
        <v>1.2</v>
      </c>
      <c r="F42">
        <f t="shared" si="6"/>
        <v>0.432</v>
      </c>
      <c r="G42">
        <f t="shared" si="6"/>
        <v>145.60000000000002</v>
      </c>
      <c r="H42">
        <f t="shared" si="7"/>
        <v>-7.920000000000001</v>
      </c>
    </row>
    <row r="43" spans="2:8" ht="12.75">
      <c r="B43">
        <f t="shared" si="3"/>
        <v>10</v>
      </c>
      <c r="C43">
        <f t="shared" si="4"/>
        <v>-0.6</v>
      </c>
      <c r="D43">
        <f t="shared" si="5"/>
        <v>8.000000000000002</v>
      </c>
      <c r="E43">
        <f aca="true" t="shared" si="8" ref="E43:E53">$D$8</f>
        <v>1.2</v>
      </c>
      <c r="F43">
        <f t="shared" si="6"/>
        <v>0.432</v>
      </c>
      <c r="G43">
        <f t="shared" si="6"/>
        <v>97.60000000000002</v>
      </c>
      <c r="H43">
        <f t="shared" si="7"/>
        <v>-6.48</v>
      </c>
    </row>
    <row r="44" spans="2:8" ht="12.75">
      <c r="B44">
        <f t="shared" si="3"/>
        <v>12</v>
      </c>
      <c r="C44">
        <f t="shared" si="4"/>
        <v>-0.6</v>
      </c>
      <c r="D44">
        <f t="shared" si="5"/>
        <v>6.000000000000002</v>
      </c>
      <c r="E44">
        <f t="shared" si="8"/>
        <v>1.2</v>
      </c>
      <c r="F44">
        <f t="shared" si="6"/>
        <v>0.432</v>
      </c>
      <c r="G44">
        <f t="shared" si="6"/>
        <v>59.20000000000003</v>
      </c>
      <c r="H44">
        <f t="shared" si="7"/>
        <v>-5.040000000000001</v>
      </c>
    </row>
    <row r="45" spans="2:8" ht="12.75">
      <c r="B45">
        <f t="shared" si="3"/>
        <v>14</v>
      </c>
      <c r="C45">
        <f t="shared" si="4"/>
        <v>-0.6</v>
      </c>
      <c r="D45">
        <f t="shared" si="5"/>
        <v>4.000000000000002</v>
      </c>
      <c r="E45">
        <f t="shared" si="8"/>
        <v>1.2</v>
      </c>
      <c r="F45">
        <f t="shared" si="6"/>
        <v>0.432</v>
      </c>
      <c r="G45">
        <f t="shared" si="6"/>
        <v>30.40000000000002</v>
      </c>
      <c r="H45">
        <f t="shared" si="7"/>
        <v>-3.6000000000000005</v>
      </c>
    </row>
    <row r="46" spans="2:8" ht="12.75">
      <c r="B46">
        <f t="shared" si="3"/>
        <v>16</v>
      </c>
      <c r="C46">
        <f t="shared" si="4"/>
        <v>-0.6</v>
      </c>
      <c r="D46">
        <f t="shared" si="5"/>
        <v>2.0000000000000018</v>
      </c>
      <c r="E46">
        <f t="shared" si="8"/>
        <v>1.2</v>
      </c>
      <c r="F46">
        <f t="shared" si="6"/>
        <v>0.432</v>
      </c>
      <c r="G46">
        <f t="shared" si="6"/>
        <v>11.200000000000012</v>
      </c>
      <c r="H46">
        <f t="shared" si="7"/>
        <v>-2.160000000000001</v>
      </c>
    </row>
    <row r="47" spans="2:8" ht="12.75">
      <c r="B47">
        <f t="shared" si="3"/>
        <v>18</v>
      </c>
      <c r="C47">
        <f t="shared" si="4"/>
        <v>-0.6</v>
      </c>
      <c r="D47">
        <f t="shared" si="5"/>
        <v>0</v>
      </c>
      <c r="E47">
        <f t="shared" si="8"/>
        <v>1.2</v>
      </c>
      <c r="F47">
        <f t="shared" si="6"/>
        <v>0.432</v>
      </c>
      <c r="G47">
        <f t="shared" si="6"/>
        <v>1.6000000000000028</v>
      </c>
      <c r="H47">
        <f t="shared" si="7"/>
        <v>-0.7200000000000005</v>
      </c>
    </row>
    <row r="48" spans="2:8" ht="12.75">
      <c r="B48">
        <f t="shared" si="3"/>
        <v>20</v>
      </c>
      <c r="C48">
        <f t="shared" si="4"/>
        <v>-0.6</v>
      </c>
      <c r="D48">
        <f t="shared" si="5"/>
        <v>-1.9999999999999982</v>
      </c>
      <c r="E48">
        <f t="shared" si="8"/>
        <v>1.2</v>
      </c>
      <c r="F48">
        <f t="shared" si="6"/>
        <v>0.432</v>
      </c>
      <c r="G48">
        <f t="shared" si="6"/>
        <v>1.599999999999997</v>
      </c>
      <c r="H48">
        <f t="shared" si="7"/>
        <v>0.7199999999999992</v>
      </c>
    </row>
    <row r="49" spans="2:8" ht="12.75">
      <c r="B49">
        <f t="shared" si="3"/>
        <v>22</v>
      </c>
      <c r="C49">
        <f t="shared" si="4"/>
        <v>-0.6</v>
      </c>
      <c r="D49">
        <f t="shared" si="5"/>
        <v>-3.9999999999999982</v>
      </c>
      <c r="E49">
        <f t="shared" si="8"/>
        <v>1.2</v>
      </c>
      <c r="F49">
        <f t="shared" si="6"/>
        <v>0.432</v>
      </c>
      <c r="G49">
        <f t="shared" si="6"/>
        <v>11.199999999999987</v>
      </c>
      <c r="H49">
        <f t="shared" si="7"/>
        <v>2.1599999999999984</v>
      </c>
    </row>
    <row r="50" spans="2:8" ht="12.75">
      <c r="B50">
        <f t="shared" si="3"/>
        <v>24</v>
      </c>
      <c r="C50">
        <f t="shared" si="4"/>
        <v>-0.6</v>
      </c>
      <c r="D50">
        <f t="shared" si="5"/>
        <v>-5.999999999999998</v>
      </c>
      <c r="E50">
        <f t="shared" si="8"/>
        <v>1.2</v>
      </c>
      <c r="F50">
        <f t="shared" si="6"/>
        <v>0.432</v>
      </c>
      <c r="G50">
        <f t="shared" si="6"/>
        <v>30.399999999999974</v>
      </c>
      <c r="H50">
        <f t="shared" si="7"/>
        <v>3.5999999999999983</v>
      </c>
    </row>
    <row r="51" spans="2:8" ht="12.75">
      <c r="B51">
        <f t="shared" si="3"/>
        <v>26</v>
      </c>
      <c r="C51">
        <f t="shared" si="4"/>
        <v>-0.6</v>
      </c>
      <c r="D51">
        <f t="shared" si="5"/>
        <v>-7.999999999999998</v>
      </c>
      <c r="E51">
        <f t="shared" si="8"/>
        <v>1.2</v>
      </c>
      <c r="F51">
        <f t="shared" si="6"/>
        <v>0.432</v>
      </c>
      <c r="G51">
        <f t="shared" si="6"/>
        <v>59.19999999999996</v>
      </c>
      <c r="H51">
        <f t="shared" si="7"/>
        <v>5.039999999999998</v>
      </c>
    </row>
    <row r="52" spans="2:8" ht="12.75">
      <c r="B52">
        <f t="shared" si="3"/>
        <v>28</v>
      </c>
      <c r="C52">
        <f t="shared" si="4"/>
        <v>-0.6</v>
      </c>
      <c r="D52">
        <f t="shared" si="5"/>
        <v>-9.999999999999998</v>
      </c>
      <c r="E52">
        <f t="shared" si="8"/>
        <v>1.2</v>
      </c>
      <c r="F52">
        <f t="shared" si="6"/>
        <v>0.432</v>
      </c>
      <c r="G52">
        <f t="shared" si="6"/>
        <v>97.59999999999995</v>
      </c>
      <c r="H52">
        <f t="shared" si="7"/>
        <v>6.479999999999998</v>
      </c>
    </row>
    <row r="53" spans="2:8" ht="12.75">
      <c r="B53">
        <f t="shared" si="3"/>
        <v>30</v>
      </c>
      <c r="C53">
        <f t="shared" si="4"/>
        <v>-0.6</v>
      </c>
      <c r="D53">
        <f t="shared" si="5"/>
        <v>-11.999999999999998</v>
      </c>
      <c r="E53">
        <f t="shared" si="8"/>
        <v>1.2</v>
      </c>
      <c r="F53">
        <f t="shared" si="6"/>
        <v>0.432</v>
      </c>
      <c r="G53">
        <f t="shared" si="6"/>
        <v>145.59999999999994</v>
      </c>
      <c r="H53">
        <f t="shared" si="7"/>
        <v>7.919999999999998</v>
      </c>
    </row>
    <row r="54" spans="2:8" ht="12.75">
      <c r="B54">
        <f t="shared" si="3"/>
        <v>32</v>
      </c>
      <c r="C54">
        <f t="shared" si="4"/>
        <v>1.4</v>
      </c>
      <c r="D54">
        <f t="shared" si="5"/>
        <v>-11.999999999999998</v>
      </c>
      <c r="E54">
        <f>$D$7</f>
        <v>0.6</v>
      </c>
      <c r="F54">
        <f t="shared" si="6"/>
        <v>0.29599999999999993</v>
      </c>
      <c r="G54">
        <f t="shared" si="6"/>
        <v>86.39999999999996</v>
      </c>
      <c r="H54">
        <f t="shared" si="7"/>
        <v>-2.879999999999999</v>
      </c>
    </row>
    <row r="55" spans="2:8" ht="12.75">
      <c r="B55">
        <f t="shared" si="3"/>
        <v>34</v>
      </c>
      <c r="C55">
        <f t="shared" si="4"/>
        <v>3.4</v>
      </c>
      <c r="D55">
        <f t="shared" si="5"/>
        <v>-11.999999999999998</v>
      </c>
      <c r="E55">
        <f>$D$7</f>
        <v>0.6</v>
      </c>
      <c r="F55">
        <f t="shared" si="6"/>
        <v>3.6559999999999993</v>
      </c>
      <c r="G55">
        <f t="shared" si="6"/>
        <v>86.39999999999996</v>
      </c>
      <c r="H55">
        <f t="shared" si="7"/>
        <v>-17.279999999999994</v>
      </c>
    </row>
    <row r="56" spans="2:10" ht="12.75">
      <c r="B56">
        <f t="shared" si="3"/>
        <v>36</v>
      </c>
      <c r="C56">
        <f t="shared" si="4"/>
        <v>5.4</v>
      </c>
      <c r="D56">
        <f t="shared" si="5"/>
        <v>-11.999999999999998</v>
      </c>
      <c r="E56">
        <f>$D$7</f>
        <v>0.6</v>
      </c>
      <c r="F56">
        <f t="shared" si="6"/>
        <v>11.815999999999999</v>
      </c>
      <c r="G56">
        <f t="shared" si="6"/>
        <v>86.39999999999996</v>
      </c>
      <c r="H56">
        <f t="shared" si="7"/>
        <v>-31.679999999999993</v>
      </c>
      <c r="J56" t="s">
        <v>19</v>
      </c>
    </row>
    <row r="57" spans="5:12" ht="12.75">
      <c r="E57" s="1" t="s">
        <v>25</v>
      </c>
      <c r="F57" s="1">
        <f>SUM(F38:F56)</f>
        <v>36.719999999999985</v>
      </c>
      <c r="G57" s="1">
        <f>SUM(G38:G56)</f>
        <v>1209.5999999999995</v>
      </c>
      <c r="H57" s="1">
        <f>SUM(H39:H56)</f>
        <v>0</v>
      </c>
      <c r="J57" t="s">
        <v>18</v>
      </c>
      <c r="K57">
        <f>12*E44*C32^2+2*0.3*6^3/12+6*E41*(3-C32)^2</f>
        <v>36.72</v>
      </c>
      <c r="L57" t="s">
        <v>21</v>
      </c>
    </row>
    <row r="58" spans="10:12" ht="12.75">
      <c r="J58" t="s">
        <v>20</v>
      </c>
      <c r="K58">
        <f>0.6*24^3/12+6*E40*12^2</f>
        <v>1209.6</v>
      </c>
      <c r="L58" t="s">
        <v>21</v>
      </c>
    </row>
    <row r="59" spans="10:12" ht="12.75">
      <c r="J59" t="s">
        <v>23</v>
      </c>
      <c r="K59">
        <v>0</v>
      </c>
      <c r="L59" t="s">
        <v>24</v>
      </c>
    </row>
    <row r="60" ht="12.75">
      <c r="B60" s="1" t="s">
        <v>26</v>
      </c>
    </row>
    <row r="62" spans="2:13" ht="12.75">
      <c r="B62" s="1" t="str">
        <f>B37</f>
        <v>S</v>
      </c>
      <c r="C62" s="1" t="str">
        <f>C37</f>
        <v>x</v>
      </c>
      <c r="D62" s="1" t="str">
        <f>D37</f>
        <v>y</v>
      </c>
      <c r="E62" s="1" t="str">
        <f>E37</f>
        <v>area</v>
      </c>
      <c r="F62" s="1" t="s">
        <v>27</v>
      </c>
      <c r="G62" s="1" t="s">
        <v>28</v>
      </c>
      <c r="H62" s="1" t="s">
        <v>29</v>
      </c>
      <c r="I62" s="1" t="s">
        <v>37</v>
      </c>
      <c r="J62" s="1" t="s">
        <v>34</v>
      </c>
      <c r="K62" s="1" t="s">
        <v>35</v>
      </c>
      <c r="L62" s="1" t="s">
        <v>36</v>
      </c>
      <c r="M62" s="1"/>
    </row>
    <row r="63" spans="2:12" ht="12.75">
      <c r="B63">
        <f aca="true" t="shared" si="9" ref="B63:D80">B38</f>
        <v>0</v>
      </c>
      <c r="C63">
        <f t="shared" si="9"/>
        <v>5.4</v>
      </c>
      <c r="D63">
        <f t="shared" si="9"/>
        <v>12.000000000000002</v>
      </c>
      <c r="E63">
        <f aca="true" t="shared" si="10" ref="E63:E81">E38</f>
        <v>0</v>
      </c>
      <c r="F63">
        <v>0</v>
      </c>
      <c r="I63">
        <f>0</f>
        <v>0</v>
      </c>
      <c r="J63">
        <f>F63+I63</f>
        <v>0</v>
      </c>
      <c r="K63">
        <f>0</f>
        <v>0</v>
      </c>
      <c r="L63">
        <f aca="true" t="shared" si="11" ref="L63:L81">J63-$K$82/$D$9</f>
        <v>-56.571428571428584</v>
      </c>
    </row>
    <row r="64" spans="2:12" ht="12.75">
      <c r="B64">
        <f t="shared" si="9"/>
        <v>2</v>
      </c>
      <c r="C64">
        <f t="shared" si="9"/>
        <v>3.4</v>
      </c>
      <c r="D64">
        <f t="shared" si="9"/>
        <v>12.000000000000002</v>
      </c>
      <c r="E64">
        <f t="shared" si="10"/>
        <v>0.6</v>
      </c>
      <c r="F64">
        <f>F63+0.5*(C64+C63)*(D64-D63)-0.5*(D64+D63)*(C64-C63)</f>
        <v>24.000000000000007</v>
      </c>
      <c r="G64">
        <f>(E64/6)*(2*(C64*F64+C63*F63)+C63*F64+C64*F63)</f>
        <v>29.280000000000005</v>
      </c>
      <c r="H64">
        <f>(E64/6)*(2*(D64*F64+D63*F63)+D63*F64+D64*F63)</f>
        <v>86.40000000000002</v>
      </c>
      <c r="I64">
        <f>I63-$H$84*(D64-D63)+$H$85*(C64-C63)</f>
        <v>0</v>
      </c>
      <c r="J64">
        <f aca="true" t="shared" si="12" ref="J64:J81">F64+I64</f>
        <v>24.000000000000007</v>
      </c>
      <c r="K64">
        <f aca="true" t="shared" si="13" ref="K64:K81">(E64/2)*(J64+J63)</f>
        <v>7.200000000000002</v>
      </c>
      <c r="L64">
        <f t="shared" si="11"/>
        <v>-32.57142857142858</v>
      </c>
    </row>
    <row r="65" spans="2:12" ht="12.75">
      <c r="B65">
        <f t="shared" si="9"/>
        <v>4</v>
      </c>
      <c r="C65">
        <f t="shared" si="9"/>
        <v>1.4</v>
      </c>
      <c r="D65">
        <f t="shared" si="9"/>
        <v>12.000000000000002</v>
      </c>
      <c r="E65">
        <f t="shared" si="10"/>
        <v>0.6</v>
      </c>
      <c r="F65">
        <f aca="true" t="shared" si="14" ref="F65:F81">F64+0.5*(C65+C64)*(D65-D64)-0.5*(D65+D64)*(C65-C64)</f>
        <v>48.000000000000014</v>
      </c>
      <c r="G65">
        <f aca="true" t="shared" si="15" ref="G65:G81">(E65/6)*(2*(C65*F65+C64*F64)+C64*F65+C65*F64)</f>
        <v>49.44000000000001</v>
      </c>
      <c r="H65">
        <f aca="true" t="shared" si="16" ref="H65:H81">(E65/6)*(2*(D65*F65+D64*F64)+D64*F65+D65*F64)</f>
        <v>259.20000000000005</v>
      </c>
      <c r="I65">
        <f>I64-$H$84*(D65-D64)+$H$85*(C65-C64)</f>
        <v>0</v>
      </c>
      <c r="J65">
        <f t="shared" si="12"/>
        <v>48.000000000000014</v>
      </c>
      <c r="K65">
        <f t="shared" si="13"/>
        <v>21.60000000000001</v>
      </c>
      <c r="L65">
        <f t="shared" si="11"/>
        <v>-8.57142857142857</v>
      </c>
    </row>
    <row r="66" spans="2:12" ht="12.75">
      <c r="B66">
        <f t="shared" si="9"/>
        <v>6</v>
      </c>
      <c r="C66">
        <f t="shared" si="9"/>
        <v>-0.6</v>
      </c>
      <c r="D66">
        <f t="shared" si="9"/>
        <v>12.000000000000002</v>
      </c>
      <c r="E66">
        <f t="shared" si="10"/>
        <v>0.6</v>
      </c>
      <c r="F66">
        <f t="shared" si="14"/>
        <v>72.00000000000001</v>
      </c>
      <c r="G66">
        <f t="shared" si="15"/>
        <v>11.999999999999998</v>
      </c>
      <c r="H66">
        <f t="shared" si="16"/>
        <v>432.00000000000017</v>
      </c>
      <c r="I66">
        <f>I65-$H$84*(D66-D65)+$H$85*(C66-C65)</f>
        <v>0</v>
      </c>
      <c r="J66">
        <f t="shared" si="12"/>
        <v>72.00000000000001</v>
      </c>
      <c r="K66">
        <f t="shared" si="13"/>
        <v>36.00000000000001</v>
      </c>
      <c r="L66">
        <f t="shared" si="11"/>
        <v>15.42857142857143</v>
      </c>
    </row>
    <row r="67" spans="2:12" ht="12.75">
      <c r="B67">
        <f t="shared" si="9"/>
        <v>8</v>
      </c>
      <c r="C67">
        <f t="shared" si="9"/>
        <v>-0.6</v>
      </c>
      <c r="D67">
        <f t="shared" si="9"/>
        <v>10.000000000000002</v>
      </c>
      <c r="E67">
        <f t="shared" si="10"/>
        <v>1.2</v>
      </c>
      <c r="F67">
        <f t="shared" si="14"/>
        <v>73.20000000000002</v>
      </c>
      <c r="G67">
        <f t="shared" si="15"/>
        <v>-52.27200000000001</v>
      </c>
      <c r="H67">
        <f t="shared" si="16"/>
        <v>958.0800000000002</v>
      </c>
      <c r="I67">
        <f aca="true" t="shared" si="17" ref="I67:I81">I66-$H$84*(D67-D66)+$H$85*(C67-C66)</f>
        <v>-3.7714285714285727</v>
      </c>
      <c r="J67">
        <f t="shared" si="12"/>
        <v>69.42857142857144</v>
      </c>
      <c r="K67">
        <f t="shared" si="13"/>
        <v>84.85714285714286</v>
      </c>
      <c r="L67">
        <f t="shared" si="11"/>
        <v>12.857142857142861</v>
      </c>
    </row>
    <row r="68" spans="2:12" ht="12.75">
      <c r="B68">
        <f t="shared" si="9"/>
        <v>10</v>
      </c>
      <c r="C68">
        <f t="shared" si="9"/>
        <v>-0.6</v>
      </c>
      <c r="D68">
        <f t="shared" si="9"/>
        <v>8.000000000000002</v>
      </c>
      <c r="E68">
        <f t="shared" si="10"/>
        <v>1.2</v>
      </c>
      <c r="F68">
        <f t="shared" si="14"/>
        <v>74.40000000000002</v>
      </c>
      <c r="G68">
        <f t="shared" si="15"/>
        <v>-53.13600000000001</v>
      </c>
      <c r="H68">
        <f t="shared" si="16"/>
        <v>796.8000000000004</v>
      </c>
      <c r="I68">
        <f t="shared" si="17"/>
        <v>-7.542857142857145</v>
      </c>
      <c r="J68">
        <f t="shared" si="12"/>
        <v>66.85714285714288</v>
      </c>
      <c r="K68">
        <f t="shared" si="13"/>
        <v>81.7714285714286</v>
      </c>
      <c r="L68">
        <f t="shared" si="11"/>
        <v>10.285714285714292</v>
      </c>
    </row>
    <row r="69" spans="2:12" ht="12.75">
      <c r="B69">
        <f t="shared" si="9"/>
        <v>12</v>
      </c>
      <c r="C69">
        <f t="shared" si="9"/>
        <v>-0.6</v>
      </c>
      <c r="D69">
        <f t="shared" si="9"/>
        <v>6.000000000000002</v>
      </c>
      <c r="E69">
        <f t="shared" si="10"/>
        <v>1.2</v>
      </c>
      <c r="F69">
        <f t="shared" si="14"/>
        <v>75.60000000000002</v>
      </c>
      <c r="G69">
        <f t="shared" si="15"/>
        <v>-54.00000000000001</v>
      </c>
      <c r="H69">
        <f t="shared" si="16"/>
        <v>629.7600000000002</v>
      </c>
      <c r="I69">
        <f t="shared" si="17"/>
        <v>-11.314285714285718</v>
      </c>
      <c r="J69">
        <f t="shared" si="12"/>
        <v>64.2857142857143</v>
      </c>
      <c r="K69">
        <f t="shared" si="13"/>
        <v>78.6857142857143</v>
      </c>
      <c r="L69">
        <f t="shared" si="11"/>
        <v>7.714285714285722</v>
      </c>
    </row>
    <row r="70" spans="2:12" ht="12.75">
      <c r="B70">
        <f t="shared" si="9"/>
        <v>14</v>
      </c>
      <c r="C70">
        <f t="shared" si="9"/>
        <v>-0.6</v>
      </c>
      <c r="D70">
        <f t="shared" si="9"/>
        <v>4.000000000000002</v>
      </c>
      <c r="E70">
        <f t="shared" si="10"/>
        <v>1.2</v>
      </c>
      <c r="F70">
        <f t="shared" si="14"/>
        <v>76.80000000000003</v>
      </c>
      <c r="G70">
        <f t="shared" si="15"/>
        <v>-54.864000000000004</v>
      </c>
      <c r="H70">
        <f t="shared" si="16"/>
        <v>456.9600000000002</v>
      </c>
      <c r="I70">
        <f t="shared" si="17"/>
        <v>-15.08571428571429</v>
      </c>
      <c r="J70">
        <f t="shared" si="12"/>
        <v>61.71428571428574</v>
      </c>
      <c r="K70">
        <f t="shared" si="13"/>
        <v>75.60000000000002</v>
      </c>
      <c r="L70">
        <f t="shared" si="11"/>
        <v>5.142857142857153</v>
      </c>
    </row>
    <row r="71" spans="2:12" ht="12.75">
      <c r="B71">
        <f t="shared" si="9"/>
        <v>16</v>
      </c>
      <c r="C71">
        <f t="shared" si="9"/>
        <v>-0.6</v>
      </c>
      <c r="D71">
        <f t="shared" si="9"/>
        <v>2.0000000000000018</v>
      </c>
      <c r="E71">
        <f t="shared" si="10"/>
        <v>1.2</v>
      </c>
      <c r="F71">
        <f t="shared" si="14"/>
        <v>78.00000000000003</v>
      </c>
      <c r="G71">
        <f t="shared" si="15"/>
        <v>-55.728000000000016</v>
      </c>
      <c r="H71">
        <f t="shared" si="16"/>
        <v>278.4000000000002</v>
      </c>
      <c r="I71">
        <f t="shared" si="17"/>
        <v>-18.857142857142865</v>
      </c>
      <c r="J71">
        <f t="shared" si="12"/>
        <v>59.14285714285717</v>
      </c>
      <c r="K71">
        <f t="shared" si="13"/>
        <v>72.51428571428573</v>
      </c>
      <c r="L71">
        <f t="shared" si="11"/>
        <v>2.5714285714285836</v>
      </c>
    </row>
    <row r="72" spans="2:12" ht="12.75">
      <c r="B72">
        <f t="shared" si="9"/>
        <v>18</v>
      </c>
      <c r="C72">
        <f t="shared" si="9"/>
        <v>-0.6</v>
      </c>
      <c r="D72">
        <f t="shared" si="9"/>
        <v>0</v>
      </c>
      <c r="E72">
        <f t="shared" si="10"/>
        <v>1.2</v>
      </c>
      <c r="F72">
        <f t="shared" si="14"/>
        <v>79.20000000000003</v>
      </c>
      <c r="G72">
        <f t="shared" si="15"/>
        <v>-56.59200000000001</v>
      </c>
      <c r="H72">
        <f t="shared" si="16"/>
        <v>94.08000000000011</v>
      </c>
      <c r="I72">
        <f t="shared" si="17"/>
        <v>-22.62857142857144</v>
      </c>
      <c r="J72">
        <f t="shared" si="12"/>
        <v>56.57142857142859</v>
      </c>
      <c r="K72">
        <f t="shared" si="13"/>
        <v>69.42857142857144</v>
      </c>
      <c r="L72">
        <f t="shared" si="11"/>
        <v>0</v>
      </c>
    </row>
    <row r="73" spans="2:12" ht="12.75">
      <c r="B73">
        <f t="shared" si="9"/>
        <v>20</v>
      </c>
      <c r="C73">
        <f t="shared" si="9"/>
        <v>-0.6</v>
      </c>
      <c r="D73">
        <f t="shared" si="9"/>
        <v>-1.9999999999999982</v>
      </c>
      <c r="E73">
        <f t="shared" si="10"/>
        <v>1.2</v>
      </c>
      <c r="F73">
        <f t="shared" si="14"/>
        <v>80.40000000000003</v>
      </c>
      <c r="G73">
        <f t="shared" si="15"/>
        <v>-57.45600000000001</v>
      </c>
      <c r="H73">
        <f t="shared" si="16"/>
        <v>-95.99999999999994</v>
      </c>
      <c r="I73">
        <f t="shared" si="17"/>
        <v>-26.40000000000001</v>
      </c>
      <c r="J73">
        <f t="shared" si="12"/>
        <v>54.00000000000003</v>
      </c>
      <c r="K73">
        <f t="shared" si="13"/>
        <v>66.34285714285717</v>
      </c>
      <c r="L73">
        <f t="shared" si="11"/>
        <v>-2.571428571428555</v>
      </c>
    </row>
    <row r="74" spans="2:12" ht="12.75">
      <c r="B74">
        <f t="shared" si="9"/>
        <v>22</v>
      </c>
      <c r="C74">
        <f t="shared" si="9"/>
        <v>-0.6</v>
      </c>
      <c r="D74">
        <f t="shared" si="9"/>
        <v>-3.9999999999999982</v>
      </c>
      <c r="E74">
        <f t="shared" si="10"/>
        <v>1.2</v>
      </c>
      <c r="F74">
        <f t="shared" si="14"/>
        <v>81.60000000000004</v>
      </c>
      <c r="G74">
        <f t="shared" si="15"/>
        <v>-58.32000000000002</v>
      </c>
      <c r="H74">
        <f t="shared" si="16"/>
        <v>-291.8399999999999</v>
      </c>
      <c r="I74">
        <f t="shared" si="17"/>
        <v>-30.17142857142858</v>
      </c>
      <c r="J74">
        <f t="shared" si="12"/>
        <v>51.42857142857146</v>
      </c>
      <c r="K74">
        <f t="shared" si="13"/>
        <v>63.25714285714289</v>
      </c>
      <c r="L74">
        <f t="shared" si="11"/>
        <v>-5.142857142857125</v>
      </c>
    </row>
    <row r="75" spans="2:12" ht="12.75">
      <c r="B75">
        <f t="shared" si="9"/>
        <v>24</v>
      </c>
      <c r="C75">
        <f t="shared" si="9"/>
        <v>-0.6</v>
      </c>
      <c r="D75">
        <f t="shared" si="9"/>
        <v>-5.999999999999998</v>
      </c>
      <c r="E75">
        <f t="shared" si="10"/>
        <v>1.2</v>
      </c>
      <c r="F75">
        <f t="shared" si="14"/>
        <v>82.80000000000004</v>
      </c>
      <c r="G75">
        <f t="shared" si="15"/>
        <v>-59.18400000000002</v>
      </c>
      <c r="H75">
        <f t="shared" si="16"/>
        <v>-493.44</v>
      </c>
      <c r="I75">
        <f t="shared" si="17"/>
        <v>-33.94285714285716</v>
      </c>
      <c r="J75">
        <f t="shared" si="12"/>
        <v>48.85714285714288</v>
      </c>
      <c r="K75">
        <f t="shared" si="13"/>
        <v>60.1714285714286</v>
      </c>
      <c r="L75">
        <f t="shared" si="11"/>
        <v>-7.714285714285701</v>
      </c>
    </row>
    <row r="76" spans="2:12" ht="12.75">
      <c r="B76">
        <f t="shared" si="9"/>
        <v>26</v>
      </c>
      <c r="C76">
        <f t="shared" si="9"/>
        <v>-0.6</v>
      </c>
      <c r="D76">
        <f t="shared" si="9"/>
        <v>-7.999999999999998</v>
      </c>
      <c r="E76">
        <f t="shared" si="10"/>
        <v>1.2</v>
      </c>
      <c r="F76">
        <f t="shared" si="14"/>
        <v>84.00000000000004</v>
      </c>
      <c r="G76">
        <f t="shared" si="15"/>
        <v>-60.048000000000016</v>
      </c>
      <c r="H76">
        <f t="shared" si="16"/>
        <v>-700.8000000000001</v>
      </c>
      <c r="I76">
        <f t="shared" si="17"/>
        <v>-37.71428571428573</v>
      </c>
      <c r="J76">
        <f t="shared" si="12"/>
        <v>46.28571428571431</v>
      </c>
      <c r="K76">
        <f t="shared" si="13"/>
        <v>57.08571428571432</v>
      </c>
      <c r="L76">
        <f t="shared" si="11"/>
        <v>-10.28571428571427</v>
      </c>
    </row>
    <row r="77" spans="2:12" ht="12.75">
      <c r="B77">
        <f t="shared" si="9"/>
        <v>28</v>
      </c>
      <c r="C77">
        <f t="shared" si="9"/>
        <v>-0.6</v>
      </c>
      <c r="D77">
        <f t="shared" si="9"/>
        <v>-9.999999999999998</v>
      </c>
      <c r="E77">
        <f t="shared" si="10"/>
        <v>1.2</v>
      </c>
      <c r="F77">
        <f t="shared" si="14"/>
        <v>85.20000000000005</v>
      </c>
      <c r="G77">
        <f t="shared" si="15"/>
        <v>-60.91200000000003</v>
      </c>
      <c r="H77">
        <f t="shared" si="16"/>
        <v>-913.9200000000002</v>
      </c>
      <c r="I77">
        <f t="shared" si="17"/>
        <v>-41.4857142857143</v>
      </c>
      <c r="J77">
        <f t="shared" si="12"/>
        <v>43.714285714285744</v>
      </c>
      <c r="K77">
        <f t="shared" si="13"/>
        <v>54.000000000000036</v>
      </c>
      <c r="L77">
        <f t="shared" si="11"/>
        <v>-12.85714285714284</v>
      </c>
    </row>
    <row r="78" spans="2:12" ht="12.75">
      <c r="B78">
        <f t="shared" si="9"/>
        <v>30</v>
      </c>
      <c r="C78">
        <f t="shared" si="9"/>
        <v>-0.6</v>
      </c>
      <c r="D78">
        <f t="shared" si="9"/>
        <v>-11.999999999999998</v>
      </c>
      <c r="E78">
        <f t="shared" si="10"/>
        <v>1.2</v>
      </c>
      <c r="F78">
        <f t="shared" si="14"/>
        <v>86.40000000000005</v>
      </c>
      <c r="G78">
        <f t="shared" si="15"/>
        <v>-61.77600000000002</v>
      </c>
      <c r="H78">
        <f t="shared" si="16"/>
        <v>-1132.8000000000002</v>
      </c>
      <c r="I78">
        <f t="shared" si="17"/>
        <v>-45.257142857142874</v>
      </c>
      <c r="J78">
        <f t="shared" si="12"/>
        <v>41.142857142857174</v>
      </c>
      <c r="K78">
        <f t="shared" si="13"/>
        <v>50.91428571428575</v>
      </c>
      <c r="L78">
        <f t="shared" si="11"/>
        <v>-15.42857142857141</v>
      </c>
    </row>
    <row r="79" spans="2:12" ht="12.75">
      <c r="B79">
        <f>B54</f>
        <v>32</v>
      </c>
      <c r="C79">
        <f>C54</f>
        <v>1.4</v>
      </c>
      <c r="D79">
        <f>D54</f>
        <v>-11.999999999999998</v>
      </c>
      <c r="E79">
        <f t="shared" si="10"/>
        <v>0.6</v>
      </c>
      <c r="F79">
        <f t="shared" si="14"/>
        <v>110.40000000000005</v>
      </c>
      <c r="G79">
        <f t="shared" si="15"/>
        <v>26.016000000000005</v>
      </c>
      <c r="H79">
        <f t="shared" si="16"/>
        <v>-708.4800000000001</v>
      </c>
      <c r="I79">
        <f t="shared" si="17"/>
        <v>-45.257142857142874</v>
      </c>
      <c r="J79">
        <f t="shared" si="12"/>
        <v>65.14285714285717</v>
      </c>
      <c r="K79">
        <f t="shared" si="13"/>
        <v>31.8857142857143</v>
      </c>
      <c r="L79">
        <f t="shared" si="11"/>
        <v>8.571428571428584</v>
      </c>
    </row>
    <row r="80" spans="2:12" ht="12.75">
      <c r="B80">
        <f t="shared" si="9"/>
        <v>34</v>
      </c>
      <c r="C80">
        <f t="shared" si="9"/>
        <v>3.4</v>
      </c>
      <c r="D80">
        <f t="shared" si="9"/>
        <v>-11.999999999999998</v>
      </c>
      <c r="E80">
        <f t="shared" si="10"/>
        <v>0.6</v>
      </c>
      <c r="F80">
        <f t="shared" si="14"/>
        <v>134.40000000000003</v>
      </c>
      <c r="G80">
        <f t="shared" si="15"/>
        <v>178.65600000000003</v>
      </c>
      <c r="H80">
        <f t="shared" si="16"/>
        <v>-881.2800000000001</v>
      </c>
      <c r="I80">
        <f t="shared" si="17"/>
        <v>-45.257142857142874</v>
      </c>
      <c r="J80">
        <f t="shared" si="12"/>
        <v>89.14285714285717</v>
      </c>
      <c r="K80">
        <f t="shared" si="13"/>
        <v>46.2857142857143</v>
      </c>
      <c r="L80">
        <f t="shared" si="11"/>
        <v>32.571428571428584</v>
      </c>
    </row>
    <row r="81" spans="2:12" ht="12.75">
      <c r="B81">
        <f>B56</f>
        <v>36</v>
      </c>
      <c r="C81">
        <f>C56</f>
        <v>5.4</v>
      </c>
      <c r="D81">
        <f>D56</f>
        <v>-11.999999999999998</v>
      </c>
      <c r="E81">
        <f t="shared" si="10"/>
        <v>0.6</v>
      </c>
      <c r="F81">
        <f t="shared" si="14"/>
        <v>158.40000000000003</v>
      </c>
      <c r="G81">
        <f t="shared" si="15"/>
        <v>388.8960000000001</v>
      </c>
      <c r="H81">
        <f t="shared" si="16"/>
        <v>-1054.08</v>
      </c>
      <c r="I81">
        <f t="shared" si="17"/>
        <v>-45.257142857142874</v>
      </c>
      <c r="J81">
        <f t="shared" si="12"/>
        <v>113.14285714285717</v>
      </c>
      <c r="K81">
        <f t="shared" si="13"/>
        <v>60.6857142857143</v>
      </c>
      <c r="L81">
        <f t="shared" si="11"/>
        <v>56.571428571428584</v>
      </c>
    </row>
    <row r="82" spans="6:11" ht="12.75">
      <c r="F82" s="1" t="s">
        <v>25</v>
      </c>
      <c r="G82" s="1">
        <f>SUM(G64:G81)</f>
        <v>0</v>
      </c>
      <c r="H82" s="1">
        <f>SUM(H64:H81)</f>
        <v>-2280.9599999999996</v>
      </c>
      <c r="K82" s="1">
        <f>SUM(K63:K81)</f>
        <v>1018.2857142857146</v>
      </c>
    </row>
    <row r="84" spans="7:10" ht="12.75">
      <c r="G84" s="1" t="s">
        <v>30</v>
      </c>
      <c r="H84" s="1">
        <f>(H82*F57-H57*G82)/(F57*G57-H57*H57)</f>
        <v>-1.8857142857142863</v>
      </c>
      <c r="I84" t="s">
        <v>38</v>
      </c>
      <c r="J84" t="s">
        <v>32</v>
      </c>
    </row>
    <row r="85" spans="7:10" ht="12.75">
      <c r="G85" s="1" t="s">
        <v>31</v>
      </c>
      <c r="H85" s="1">
        <f>(-G82*G57+H57*H82)/(F57*G57-H57*H57)</f>
        <v>0</v>
      </c>
      <c r="I85" t="s">
        <v>38</v>
      </c>
      <c r="J85" t="s">
        <v>33</v>
      </c>
    </row>
    <row r="87" spans="2:5" ht="12.75">
      <c r="B87" s="1" t="s">
        <v>39</v>
      </c>
      <c r="E87" s="1" t="s">
        <v>36</v>
      </c>
    </row>
    <row r="88" ht="12.75">
      <c r="E88" t="s">
        <v>3</v>
      </c>
    </row>
    <row r="89" spans="2:11" ht="12.75">
      <c r="B89" s="1" t="str">
        <f aca="true" t="shared" si="18" ref="B89:E90">B62</f>
        <v>S</v>
      </c>
      <c r="C89" s="1" t="str">
        <f t="shared" si="18"/>
        <v>x</v>
      </c>
      <c r="D89" s="1" t="str">
        <f t="shared" si="18"/>
        <v>y</v>
      </c>
      <c r="E89" s="1" t="str">
        <f t="shared" si="18"/>
        <v>area</v>
      </c>
      <c r="F89" s="1" t="s">
        <v>39</v>
      </c>
      <c r="G89" s="1" t="s">
        <v>41</v>
      </c>
      <c r="H89" s="1" t="s">
        <v>40</v>
      </c>
      <c r="J89" s="1" t="s">
        <v>87</v>
      </c>
      <c r="K89" s="11" t="s">
        <v>101</v>
      </c>
    </row>
    <row r="90" spans="2:11" ht="12.75">
      <c r="B90">
        <f t="shared" si="18"/>
        <v>0</v>
      </c>
      <c r="C90">
        <f t="shared" si="18"/>
        <v>5.4</v>
      </c>
      <c r="D90">
        <f t="shared" si="18"/>
        <v>12.000000000000002</v>
      </c>
      <c r="E90">
        <f t="shared" si="18"/>
        <v>0</v>
      </c>
      <c r="K90" s="12">
        <v>0</v>
      </c>
    </row>
    <row r="91" spans="2:11" ht="12.75">
      <c r="B91">
        <f aca="true" t="shared" si="19" ref="B91:E108">B64</f>
        <v>2</v>
      </c>
      <c r="C91">
        <f t="shared" si="19"/>
        <v>3.4</v>
      </c>
      <c r="D91">
        <f t="shared" si="19"/>
        <v>12.000000000000002</v>
      </c>
      <c r="E91">
        <f t="shared" si="19"/>
        <v>0.6</v>
      </c>
      <c r="F91">
        <f>(E91/3)*(L64*L64+L64*L63+L63*L63)</f>
        <v>1220.7673469387757</v>
      </c>
      <c r="G91">
        <f>(E91/6)*(2*(C91*L64+C90*L63)+C90*L64+C91*L63)</f>
        <v>-120.06857142857145</v>
      </c>
      <c r="H91">
        <f>(E91/6)*(2*(D91*L64+D90*L63)+D90*L64+D91*L63)</f>
        <v>-320.9142857142858</v>
      </c>
      <c r="J91">
        <f>E91*0.5*(L63+L64)</f>
        <v>-26.74285714285715</v>
      </c>
      <c r="K91" s="12">
        <f>K90+E91/2*(L63+L64)</f>
        <v>-26.74285714285715</v>
      </c>
    </row>
    <row r="92" spans="2:11" ht="12.75">
      <c r="B92">
        <f t="shared" si="19"/>
        <v>4</v>
      </c>
      <c r="C92">
        <f t="shared" si="19"/>
        <v>1.4</v>
      </c>
      <c r="D92">
        <f t="shared" si="19"/>
        <v>12.000000000000002</v>
      </c>
      <c r="E92">
        <f t="shared" si="19"/>
        <v>0.6</v>
      </c>
      <c r="F92">
        <f aca="true" t="shared" si="20" ref="F92:F108">(E92/3)*(L65*L65+L65*L64+L64*L64)</f>
        <v>282.71020408163264</v>
      </c>
      <c r="G92">
        <f aca="true" t="shared" si="21" ref="G92:G108">(E92/6)*(2*(C92*L65+C91*L64)+C91*L65+C92*L64)</f>
        <v>-32.02285714285714</v>
      </c>
      <c r="H92">
        <f aca="true" t="shared" si="22" ref="H92:H108">(E92/6)*(2*(D92*L65+D91*L64)+D91*L65+D92*L64)</f>
        <v>-148.11428571428573</v>
      </c>
      <c r="J92">
        <f>E92*0.5*(L64+L65)</f>
        <v>-12.342857142857143</v>
      </c>
      <c r="K92" s="12">
        <f aca="true" t="shared" si="23" ref="K92:K108">K91+E92/2*(L64+L65)</f>
        <v>-39.085714285714296</v>
      </c>
    </row>
    <row r="93" spans="2:11" ht="12.75">
      <c r="B93">
        <f t="shared" si="19"/>
        <v>6</v>
      </c>
      <c r="C93">
        <f t="shared" si="19"/>
        <v>-0.6</v>
      </c>
      <c r="D93">
        <f t="shared" si="19"/>
        <v>12.000000000000002</v>
      </c>
      <c r="E93">
        <f t="shared" si="19"/>
        <v>0.6</v>
      </c>
      <c r="F93">
        <f t="shared" si="20"/>
        <v>35.85306122448981</v>
      </c>
      <c r="G93">
        <f t="shared" si="21"/>
        <v>-1.577142857142856</v>
      </c>
      <c r="H93">
        <f t="shared" si="22"/>
        <v>24.685714285714305</v>
      </c>
      <c r="J93">
        <f aca="true" t="shared" si="24" ref="J93:J108">E93*0.5*(L65+L66)</f>
        <v>2.0571428571428583</v>
      </c>
      <c r="K93" s="12">
        <f t="shared" si="23"/>
        <v>-37.02857142857144</v>
      </c>
    </row>
    <row r="94" spans="2:11" ht="12.75">
      <c r="B94">
        <f t="shared" si="19"/>
        <v>8</v>
      </c>
      <c r="C94">
        <f t="shared" si="19"/>
        <v>-0.6</v>
      </c>
      <c r="D94">
        <f t="shared" si="19"/>
        <v>10.000000000000002</v>
      </c>
      <c r="E94">
        <f t="shared" si="19"/>
        <v>1.2</v>
      </c>
      <c r="F94">
        <f t="shared" si="20"/>
        <v>240.68571428571437</v>
      </c>
      <c r="G94">
        <f t="shared" si="21"/>
        <v>-10.182857142857145</v>
      </c>
      <c r="H94">
        <f t="shared" si="22"/>
        <v>187.20000000000005</v>
      </c>
      <c r="J94">
        <f t="shared" si="24"/>
        <v>16.971428571428575</v>
      </c>
      <c r="K94" s="12">
        <f t="shared" si="23"/>
        <v>-20.057142857142864</v>
      </c>
    </row>
    <row r="95" spans="2:11" ht="12.75">
      <c r="B95">
        <f t="shared" si="19"/>
        <v>10</v>
      </c>
      <c r="C95">
        <f t="shared" si="19"/>
        <v>-0.6</v>
      </c>
      <c r="D95">
        <f t="shared" si="19"/>
        <v>8.000000000000002</v>
      </c>
      <c r="E95">
        <f t="shared" si="19"/>
        <v>1.2</v>
      </c>
      <c r="F95">
        <f t="shared" si="20"/>
        <v>161.33877551020421</v>
      </c>
      <c r="G95">
        <f t="shared" si="21"/>
        <v>-8.331428571428575</v>
      </c>
      <c r="H95">
        <f t="shared" si="22"/>
        <v>125.48571428571435</v>
      </c>
      <c r="J95">
        <f t="shared" si="24"/>
        <v>13.885714285714291</v>
      </c>
      <c r="K95" s="12">
        <f t="shared" si="23"/>
        <v>-6.171428571428573</v>
      </c>
    </row>
    <row r="96" spans="2:11" ht="12.75">
      <c r="B96">
        <f t="shared" si="19"/>
        <v>12</v>
      </c>
      <c r="C96">
        <f t="shared" si="19"/>
        <v>-0.6</v>
      </c>
      <c r="D96">
        <f t="shared" si="19"/>
        <v>6.000000000000002</v>
      </c>
      <c r="E96">
        <f t="shared" si="19"/>
        <v>1.2</v>
      </c>
      <c r="F96">
        <f t="shared" si="20"/>
        <v>97.86122448979607</v>
      </c>
      <c r="G96">
        <f t="shared" si="21"/>
        <v>-6.480000000000005</v>
      </c>
      <c r="H96">
        <f t="shared" si="22"/>
        <v>76.11428571428578</v>
      </c>
      <c r="J96">
        <f t="shared" si="24"/>
        <v>10.800000000000008</v>
      </c>
      <c r="K96" s="12">
        <f t="shared" si="23"/>
        <v>4.628571428571435</v>
      </c>
    </row>
    <row r="97" spans="2:11" ht="12.75">
      <c r="B97">
        <f t="shared" si="19"/>
        <v>14</v>
      </c>
      <c r="C97">
        <f t="shared" si="19"/>
        <v>-0.6</v>
      </c>
      <c r="D97">
        <f t="shared" si="19"/>
        <v>4.000000000000002</v>
      </c>
      <c r="E97">
        <f t="shared" si="19"/>
        <v>1.2</v>
      </c>
      <c r="F97">
        <f t="shared" si="20"/>
        <v>50.25306122448993</v>
      </c>
      <c r="G97">
        <f t="shared" si="21"/>
        <v>-4.628571428571434</v>
      </c>
      <c r="H97">
        <f t="shared" si="22"/>
        <v>39.08571428571435</v>
      </c>
      <c r="J97">
        <f t="shared" si="24"/>
        <v>7.714285714285725</v>
      </c>
      <c r="K97" s="12">
        <f t="shared" si="23"/>
        <v>12.34285714285716</v>
      </c>
    </row>
    <row r="98" spans="2:11" ht="12.75">
      <c r="B98">
        <f t="shared" si="19"/>
        <v>16</v>
      </c>
      <c r="C98">
        <f t="shared" si="19"/>
        <v>-0.6</v>
      </c>
      <c r="D98">
        <f t="shared" si="19"/>
        <v>2.0000000000000018</v>
      </c>
      <c r="E98">
        <f t="shared" si="19"/>
        <v>1.2</v>
      </c>
      <c r="F98">
        <f t="shared" si="20"/>
        <v>18.514285714285815</v>
      </c>
      <c r="G98">
        <f t="shared" si="21"/>
        <v>-2.7771428571428647</v>
      </c>
      <c r="H98">
        <f t="shared" si="22"/>
        <v>14.400000000000047</v>
      </c>
      <c r="J98">
        <f t="shared" si="24"/>
        <v>4.628571428571441</v>
      </c>
      <c r="K98" s="12">
        <f t="shared" si="23"/>
        <v>16.9714285714286</v>
      </c>
    </row>
    <row r="99" spans="2:11" ht="12.75">
      <c r="B99">
        <f t="shared" si="19"/>
        <v>18</v>
      </c>
      <c r="C99">
        <f t="shared" si="19"/>
        <v>-0.6</v>
      </c>
      <c r="D99">
        <f t="shared" si="19"/>
        <v>0</v>
      </c>
      <c r="E99">
        <f t="shared" si="19"/>
        <v>1.2</v>
      </c>
      <c r="F99">
        <f t="shared" si="20"/>
        <v>2.644897959183698</v>
      </c>
      <c r="G99">
        <f t="shared" si="21"/>
        <v>-0.92571428571429</v>
      </c>
      <c r="H99">
        <f t="shared" si="22"/>
        <v>2.0571428571428685</v>
      </c>
      <c r="J99">
        <f t="shared" si="24"/>
        <v>1.54285714285715</v>
      </c>
      <c r="K99" s="12">
        <f t="shared" si="23"/>
        <v>18.51428571428575</v>
      </c>
    </row>
    <row r="100" spans="2:11" ht="12.75">
      <c r="B100">
        <f t="shared" si="19"/>
        <v>20</v>
      </c>
      <c r="C100">
        <f t="shared" si="19"/>
        <v>-0.6</v>
      </c>
      <c r="D100">
        <f t="shared" si="19"/>
        <v>-1.9999999999999982</v>
      </c>
      <c r="E100">
        <f t="shared" si="19"/>
        <v>1.2</v>
      </c>
      <c r="F100">
        <f t="shared" si="20"/>
        <v>2.64489795918364</v>
      </c>
      <c r="G100">
        <f t="shared" si="21"/>
        <v>0.9257142857142798</v>
      </c>
      <c r="H100">
        <f t="shared" si="22"/>
        <v>2.0571428571428423</v>
      </c>
      <c r="J100">
        <f t="shared" si="24"/>
        <v>-1.5428571428571332</v>
      </c>
      <c r="K100" s="12">
        <f t="shared" si="23"/>
        <v>16.971428571428618</v>
      </c>
    </row>
    <row r="101" spans="2:11" ht="12.75">
      <c r="B101">
        <f t="shared" si="19"/>
        <v>22</v>
      </c>
      <c r="C101">
        <f t="shared" si="19"/>
        <v>-0.6</v>
      </c>
      <c r="D101">
        <f t="shared" si="19"/>
        <v>-3.9999999999999982</v>
      </c>
      <c r="E101">
        <f t="shared" si="19"/>
        <v>1.2</v>
      </c>
      <c r="F101">
        <f t="shared" si="20"/>
        <v>18.514285714285553</v>
      </c>
      <c r="G101">
        <f t="shared" si="21"/>
        <v>2.7771428571428447</v>
      </c>
      <c r="H101">
        <f t="shared" si="22"/>
        <v>14.399999999999928</v>
      </c>
      <c r="J101">
        <f t="shared" si="24"/>
        <v>-4.628571428571408</v>
      </c>
      <c r="K101" s="12">
        <f t="shared" si="23"/>
        <v>12.34285714285721</v>
      </c>
    </row>
    <row r="102" spans="2:11" ht="12.75">
      <c r="B102">
        <f t="shared" si="19"/>
        <v>24</v>
      </c>
      <c r="C102">
        <f t="shared" si="19"/>
        <v>-0.6</v>
      </c>
      <c r="D102">
        <f t="shared" si="19"/>
        <v>-5.999999999999998</v>
      </c>
      <c r="E102">
        <f t="shared" si="19"/>
        <v>1.2</v>
      </c>
      <c r="F102">
        <f t="shared" si="20"/>
        <v>50.25306122448955</v>
      </c>
      <c r="G102">
        <f t="shared" si="21"/>
        <v>4.628571428571417</v>
      </c>
      <c r="H102">
        <f t="shared" si="22"/>
        <v>39.085714285714175</v>
      </c>
      <c r="J102">
        <f t="shared" si="24"/>
        <v>-7.714285714285695</v>
      </c>
      <c r="K102" s="12">
        <f t="shared" si="23"/>
        <v>4.628571428571514</v>
      </c>
    </row>
    <row r="103" spans="2:11" ht="12.75">
      <c r="B103">
        <f t="shared" si="19"/>
        <v>26</v>
      </c>
      <c r="C103">
        <f t="shared" si="19"/>
        <v>-0.6</v>
      </c>
      <c r="D103">
        <f t="shared" si="19"/>
        <v>-7.999999999999998</v>
      </c>
      <c r="E103">
        <f t="shared" si="19"/>
        <v>1.2</v>
      </c>
      <c r="F103">
        <f t="shared" si="20"/>
        <v>97.86122448979562</v>
      </c>
      <c r="G103">
        <f t="shared" si="21"/>
        <v>6.479999999999989</v>
      </c>
      <c r="H103">
        <f t="shared" si="22"/>
        <v>76.11428571428557</v>
      </c>
      <c r="J103">
        <f t="shared" si="24"/>
        <v>-10.799999999999983</v>
      </c>
      <c r="K103" s="12">
        <f t="shared" si="23"/>
        <v>-6.171428571428469</v>
      </c>
    </row>
    <row r="104" spans="2:11" ht="12.75">
      <c r="B104">
        <f t="shared" si="19"/>
        <v>28</v>
      </c>
      <c r="C104">
        <f t="shared" si="19"/>
        <v>-0.6</v>
      </c>
      <c r="D104">
        <f t="shared" si="19"/>
        <v>-9.999999999999998</v>
      </c>
      <c r="E104">
        <f t="shared" si="19"/>
        <v>1.2</v>
      </c>
      <c r="F104">
        <f t="shared" si="20"/>
        <v>161.33877551020362</v>
      </c>
      <c r="G104">
        <f t="shared" si="21"/>
        <v>8.331428571428559</v>
      </c>
      <c r="H104">
        <f t="shared" si="22"/>
        <v>125.48571428571407</v>
      </c>
      <c r="J104">
        <f t="shared" si="24"/>
        <v>-13.885714285714267</v>
      </c>
      <c r="K104" s="12">
        <f t="shared" si="23"/>
        <v>-20.057142857142736</v>
      </c>
    </row>
    <row r="105" spans="2:11" ht="12.75">
      <c r="B105">
        <f t="shared" si="19"/>
        <v>30</v>
      </c>
      <c r="C105">
        <f t="shared" si="19"/>
        <v>-0.6</v>
      </c>
      <c r="D105">
        <f t="shared" si="19"/>
        <v>-11.999999999999998</v>
      </c>
      <c r="E105">
        <f t="shared" si="19"/>
        <v>1.2</v>
      </c>
      <c r="F105">
        <f t="shared" si="20"/>
        <v>240.68571428571366</v>
      </c>
      <c r="G105">
        <f t="shared" si="21"/>
        <v>10.182857142857129</v>
      </c>
      <c r="H105">
        <f t="shared" si="22"/>
        <v>187.1999999999997</v>
      </c>
      <c r="J105">
        <f t="shared" si="24"/>
        <v>-16.97142857142855</v>
      </c>
      <c r="K105" s="12">
        <f t="shared" si="23"/>
        <v>-37.02857142857128</v>
      </c>
    </row>
    <row r="106" spans="2:11" ht="12.75">
      <c r="B106">
        <f t="shared" si="19"/>
        <v>32</v>
      </c>
      <c r="C106">
        <f t="shared" si="19"/>
        <v>1.4</v>
      </c>
      <c r="D106">
        <f t="shared" si="19"/>
        <v>-11.999999999999998</v>
      </c>
      <c r="E106">
        <f t="shared" si="19"/>
        <v>0.6</v>
      </c>
      <c r="F106">
        <f t="shared" si="20"/>
        <v>35.85306122448971</v>
      </c>
      <c r="G106">
        <f t="shared" si="21"/>
        <v>1.5771428571428592</v>
      </c>
      <c r="H106">
        <f t="shared" si="22"/>
        <v>24.685714285714166</v>
      </c>
      <c r="J106">
        <f t="shared" si="24"/>
        <v>-2.0571428571428476</v>
      </c>
      <c r="K106" s="12">
        <f t="shared" si="23"/>
        <v>-39.08571428571413</v>
      </c>
    </row>
    <row r="107" spans="2:11" ht="12.75">
      <c r="B107">
        <f t="shared" si="19"/>
        <v>34</v>
      </c>
      <c r="C107">
        <f t="shared" si="19"/>
        <v>3.4</v>
      </c>
      <c r="D107">
        <f t="shared" si="19"/>
        <v>-11.999999999999998</v>
      </c>
      <c r="E107">
        <f t="shared" si="19"/>
        <v>0.6</v>
      </c>
      <c r="F107">
        <f t="shared" si="20"/>
        <v>282.7102040816329</v>
      </c>
      <c r="G107">
        <f t="shared" si="21"/>
        <v>32.022857142857156</v>
      </c>
      <c r="H107">
        <f t="shared" si="22"/>
        <v>-148.11428571428576</v>
      </c>
      <c r="J107">
        <f t="shared" si="24"/>
        <v>12.34285714285715</v>
      </c>
      <c r="K107" s="12">
        <f t="shared" si="23"/>
        <v>-26.742857142856984</v>
      </c>
    </row>
    <row r="108" spans="2:11" ht="12.75">
      <c r="B108">
        <f t="shared" si="19"/>
        <v>36</v>
      </c>
      <c r="C108">
        <f t="shared" si="19"/>
        <v>5.4</v>
      </c>
      <c r="D108">
        <f t="shared" si="19"/>
        <v>-11.999999999999998</v>
      </c>
      <c r="E108">
        <f t="shared" si="19"/>
        <v>0.6</v>
      </c>
      <c r="F108">
        <f t="shared" si="20"/>
        <v>1220.767346938776</v>
      </c>
      <c r="G108">
        <f t="shared" si="21"/>
        <v>120.06857142857146</v>
      </c>
      <c r="H108">
        <f t="shared" si="22"/>
        <v>-320.91428571428577</v>
      </c>
      <c r="J108">
        <f t="shared" si="24"/>
        <v>26.74285714285715</v>
      </c>
      <c r="K108" s="12">
        <f t="shared" si="23"/>
        <v>1.6697754290362354E-13</v>
      </c>
    </row>
    <row r="109" spans="5:10" ht="12.75">
      <c r="E109" s="1" t="s">
        <v>25</v>
      </c>
      <c r="F109" s="1">
        <f>SUM(F90:F108)</f>
        <v>4221.257142857143</v>
      </c>
      <c r="G109" s="1">
        <f>SUM(G91:G108)</f>
        <v>0</v>
      </c>
      <c r="H109" s="1">
        <f>SUM(H91:H108)</f>
        <v>-9.094947017729282E-13</v>
      </c>
      <c r="I109" t="s">
        <v>38</v>
      </c>
      <c r="J109" s="1">
        <f>SUM(J91:J108)</f>
        <v>1.6697754290362354E-13</v>
      </c>
    </row>
    <row r="110" ht="12.75">
      <c r="I110" t="s">
        <v>88</v>
      </c>
    </row>
    <row r="111" spans="3:9" ht="12.75">
      <c r="C111" t="s">
        <v>44</v>
      </c>
      <c r="D111" t="s">
        <v>45</v>
      </c>
      <c r="E111" t="s">
        <v>46</v>
      </c>
      <c r="I111" t="s">
        <v>89</v>
      </c>
    </row>
    <row r="112" spans="2:5" ht="12.75">
      <c r="B112" t="s">
        <v>42</v>
      </c>
      <c r="C112">
        <f>6/0.3</f>
        <v>20</v>
      </c>
      <c r="D112">
        <v>0.32</v>
      </c>
      <c r="E112">
        <f>D112*6*0.3^3</f>
        <v>0.05184</v>
      </c>
    </row>
    <row r="113" spans="2:9" ht="12.75">
      <c r="B113" t="s">
        <v>43</v>
      </c>
      <c r="C113">
        <f>24/0.6</f>
        <v>40</v>
      </c>
      <c r="D113">
        <v>0.328</v>
      </c>
      <c r="E113">
        <f>D113*24*0.6^3</f>
        <v>1.7003519999999999</v>
      </c>
      <c r="G113" s="1" t="s">
        <v>47</v>
      </c>
      <c r="H113" s="1">
        <f>E113+2*E112</f>
        <v>1.8040319999999999</v>
      </c>
      <c r="I113" t="s">
        <v>48</v>
      </c>
    </row>
    <row r="115" spans="2:3" ht="12.75">
      <c r="B115" s="1" t="s">
        <v>49</v>
      </c>
      <c r="C115" s="1"/>
    </row>
    <row r="116" spans="2:4" ht="12.75">
      <c r="B116" s="3" t="s">
        <v>50</v>
      </c>
      <c r="C116" s="3">
        <f>D9</f>
        <v>18</v>
      </c>
      <c r="D116" t="s">
        <v>6</v>
      </c>
    </row>
    <row r="117" spans="2:4" ht="12.75">
      <c r="B117" s="3" t="s">
        <v>51</v>
      </c>
      <c r="C117" s="3">
        <f>C32</f>
        <v>0.6</v>
      </c>
      <c r="D117" t="s">
        <v>58</v>
      </c>
    </row>
    <row r="118" spans="2:4" ht="12.75">
      <c r="B118" s="3" t="s">
        <v>52</v>
      </c>
      <c r="C118" s="3">
        <f>C33</f>
        <v>11.999999999999998</v>
      </c>
      <c r="D118" t="s">
        <v>58</v>
      </c>
    </row>
    <row r="119" spans="2:4" ht="12.75">
      <c r="B119" s="3" t="s">
        <v>53</v>
      </c>
      <c r="C119" s="3">
        <f>G57</f>
        <v>1209.5999999999995</v>
      </c>
      <c r="D119" t="s">
        <v>59</v>
      </c>
    </row>
    <row r="120" spans="2:4" ht="12.75">
      <c r="B120" s="3" t="s">
        <v>54</v>
      </c>
      <c r="C120" s="3">
        <f>F57</f>
        <v>36.719999999999985</v>
      </c>
      <c r="D120" t="s">
        <v>59</v>
      </c>
    </row>
    <row r="121" spans="2:4" ht="12.75">
      <c r="B121" s="3" t="s">
        <v>22</v>
      </c>
      <c r="C121" s="3">
        <f>H57</f>
        <v>0</v>
      </c>
      <c r="D121" t="s">
        <v>59</v>
      </c>
    </row>
    <row r="122" spans="2:4" ht="12.75">
      <c r="B122" s="3" t="s">
        <v>55</v>
      </c>
      <c r="C122" s="3">
        <f>H84</f>
        <v>-1.8857142857142863</v>
      </c>
      <c r="D122" t="s">
        <v>60</v>
      </c>
    </row>
    <row r="123" spans="2:4" ht="12.75">
      <c r="B123" s="3" t="s">
        <v>56</v>
      </c>
      <c r="C123" s="3">
        <f>H85</f>
        <v>0</v>
      </c>
      <c r="D123" t="s">
        <v>60</v>
      </c>
    </row>
    <row r="124" spans="2:4" ht="12.75">
      <c r="B124" s="3" t="s">
        <v>39</v>
      </c>
      <c r="C124" s="3">
        <f>F109</f>
        <v>4221.257142857143</v>
      </c>
      <c r="D124" t="s">
        <v>61</v>
      </c>
    </row>
    <row r="125" spans="2:4" ht="12.75">
      <c r="B125" s="3" t="s">
        <v>46</v>
      </c>
      <c r="C125" s="3">
        <f>H113</f>
        <v>1.8040319999999999</v>
      </c>
      <c r="D125" t="s">
        <v>59</v>
      </c>
    </row>
    <row r="129" ht="12.75">
      <c r="A129" s="1" t="s">
        <v>62</v>
      </c>
    </row>
    <row r="130" ht="12.75">
      <c r="E130" t="s">
        <v>102</v>
      </c>
    </row>
    <row r="131" spans="2:6" ht="12.75">
      <c r="B131" t="s">
        <v>63</v>
      </c>
      <c r="C131">
        <v>240</v>
      </c>
      <c r="D131" t="s">
        <v>57</v>
      </c>
      <c r="E131" s="12" t="s">
        <v>71</v>
      </c>
      <c r="F131" s="12">
        <f>-factor2*(lambda*L*SINH(lambda*L)+1)/COSH(lambda*L)</f>
        <v>-0.3726385657435791</v>
      </c>
    </row>
    <row r="132" spans="2:7" ht="12.75">
      <c r="B132" t="s">
        <v>64</v>
      </c>
      <c r="C132">
        <v>400</v>
      </c>
      <c r="D132" t="s">
        <v>65</v>
      </c>
      <c r="E132" s="12" t="s">
        <v>103</v>
      </c>
      <c r="F132" s="15">
        <f>factor2*L*lambda^2</f>
        <v>0.004697575359631338</v>
      </c>
      <c r="G132" s="2"/>
    </row>
    <row r="133" spans="3:6" ht="12.75">
      <c r="C133">
        <f>C132</f>
        <v>400</v>
      </c>
      <c r="D133" t="s">
        <v>66</v>
      </c>
      <c r="E133" s="12" t="s">
        <v>104</v>
      </c>
      <c r="F133" s="12">
        <f>factor2*(lambda*L*SINH(lambda*L)+1)/COSH(lambda*L)</f>
        <v>0.3726385657435791</v>
      </c>
    </row>
    <row r="134" spans="2:6" ht="12.75">
      <c r="B134" t="s">
        <v>67</v>
      </c>
      <c r="C134" s="2">
        <v>29000000</v>
      </c>
      <c r="D134" t="s">
        <v>68</v>
      </c>
      <c r="E134" s="12" t="s">
        <v>105</v>
      </c>
      <c r="F134" s="12">
        <f>-factor2*L*lambda</f>
        <v>-0.3635757599145146</v>
      </c>
    </row>
    <row r="135" spans="2:6" ht="12.75">
      <c r="B135" t="s">
        <v>69</v>
      </c>
      <c r="C135" s="2">
        <v>11328000</v>
      </c>
      <c r="D135" t="s">
        <v>68</v>
      </c>
      <c r="E135" s="12" t="s">
        <v>106</v>
      </c>
      <c r="F135" s="12">
        <f>mx/(2*lambda^2*E*Iww)</f>
        <v>9.786615332565286E-06</v>
      </c>
    </row>
    <row r="136" spans="5:6" ht="12.75">
      <c r="E136" s="12" t="s">
        <v>107</v>
      </c>
      <c r="F136" s="12">
        <f>mx/(lambda^4*E*Iww)</f>
        <v>0.11724783804904439</v>
      </c>
    </row>
    <row r="137" spans="2:3" ht="12.75">
      <c r="B137" t="s">
        <v>70</v>
      </c>
      <c r="C137">
        <f>SQRT(C135*C125/(C134*C124))</f>
        <v>0.01292048557014871</v>
      </c>
    </row>
    <row r="139" ht="12.75">
      <c r="I139" t="s">
        <v>79</v>
      </c>
    </row>
    <row r="140" spans="2:9" ht="12.75">
      <c r="B140" s="1" t="s">
        <v>72</v>
      </c>
      <c r="C140" s="14" t="s">
        <v>73</v>
      </c>
      <c r="D140" s="14" t="s">
        <v>74</v>
      </c>
      <c r="E140" s="14" t="s">
        <v>75</v>
      </c>
      <c r="F140" s="14" t="s">
        <v>76</v>
      </c>
      <c r="G140" s="14" t="s">
        <v>80</v>
      </c>
      <c r="H140" s="1" t="s">
        <v>77</v>
      </c>
      <c r="I140" s="1" t="s">
        <v>78</v>
      </c>
    </row>
    <row r="141" spans="1:9" ht="12.75">
      <c r="A141" t="s">
        <v>82</v>
      </c>
      <c r="B141">
        <v>0</v>
      </c>
      <c r="C141" s="15">
        <f>A+B*$B141+CC*COSH(lambda*$B141)+D*SINH(lambda*$B141)-factor1*$B141^2</f>
        <v>0</v>
      </c>
      <c r="D141" s="15">
        <f>B+CC*lambda*SINH(lambda*$B141)+D*lambda*COSH(lambda*$B141)-2*factor1*$B141</f>
        <v>0</v>
      </c>
      <c r="E141" s="15">
        <f>CC*lambda^2*COSH(lambda*$B141)+D*lambda^2*SINH(lambda*$B141)-2*factor1</f>
        <v>4.263465924898068E-05</v>
      </c>
      <c r="F141" s="15">
        <f>CC*lambda^3*SINH(lambda*$B141)+D*lambda^3*COSH(lambda*$B141)</f>
        <v>-7.842082857206873E-07</v>
      </c>
      <c r="G141" s="15">
        <f>CC*lambda^4*COSH(lambda*$B141)+D*lambda^4*SINH(lambda*$B141)</f>
        <v>1.0384919660272349E-08</v>
      </c>
      <c r="H141" s="2">
        <f aca="true" t="shared" si="25" ref="H141:H161">$C$135*$C$125*D141-$C$134*$C$124*F141</f>
        <v>95999.99999999999</v>
      </c>
      <c r="I141" s="2">
        <f>$C$134*$C$124*G141-$C$135*$C$125*E141</f>
        <v>400.0000000000001</v>
      </c>
    </row>
    <row r="142" spans="2:9" ht="12.75">
      <c r="B142">
        <v>12</v>
      </c>
      <c r="C142" s="15">
        <f aca="true" t="shared" si="26" ref="C142:C161">A+B*$B142+CC*COSH(lambda*$B142)+D*SINH(lambda*$B142)-factor1*$B142^2</f>
        <v>0.002852551622519115</v>
      </c>
      <c r="D142" s="15">
        <f aca="true" t="shared" si="27" ref="D142:D161">B+CC*lambda*SINH(lambda*$B142)+D*lambda*COSH(lambda*$B142)-2*factor1*$B142</f>
        <v>0.0004580341670741903</v>
      </c>
      <c r="E142" s="15">
        <f aca="true" t="shared" si="28" ref="E142:E161">CC*lambda^2*COSH(lambda*$B142)+D*lambda^2*SINH(lambda*$B142)-2*factor1</f>
        <v>3.393562427122607E-05</v>
      </c>
      <c r="F142" s="15">
        <f aca="true" t="shared" si="29" ref="F142:F161">CC*lambda^3*SINH(lambda*$B142)+D*lambda^3*COSH(lambda*$B142)</f>
        <v>-6.68534129724516E-07</v>
      </c>
      <c r="G142" s="15">
        <f aca="true" t="shared" si="30" ref="G142:G161">CC*lambda^4*COSH(lambda*$B142)+D*lambda^4*SINH(lambda*$B142)</f>
        <v>8.932711917964917E-09</v>
      </c>
      <c r="H142" s="2">
        <f t="shared" si="25"/>
        <v>91199.99999999999</v>
      </c>
      <c r="I142" s="2">
        <f aca="true" t="shared" si="31" ref="I142:I161">$C$134*$C$124*G142-$C$135*$C$125*E142</f>
        <v>399.9999999999999</v>
      </c>
    </row>
    <row r="143" spans="2:9" ht="12.75">
      <c r="B143">
        <v>24</v>
      </c>
      <c r="C143" s="15">
        <f t="shared" si="26"/>
        <v>0.010607281240354581</v>
      </c>
      <c r="D143" s="15">
        <f t="shared" si="27"/>
        <v>0.0008196064124923775</v>
      </c>
      <c r="E143" s="15">
        <f t="shared" si="28"/>
        <v>2.6525478699254597E-05</v>
      </c>
      <c r="F143" s="15">
        <f t="shared" si="29"/>
        <v>-5.689632253907332E-07</v>
      </c>
      <c r="G143" s="15">
        <f t="shared" si="30"/>
        <v>7.695670016333236E-09</v>
      </c>
      <c r="H143" s="2">
        <f t="shared" si="25"/>
        <v>86400</v>
      </c>
      <c r="I143" s="2">
        <f t="shared" si="31"/>
        <v>400.0000000000002</v>
      </c>
    </row>
    <row r="144" spans="2:9" ht="12.75">
      <c r="B144">
        <v>36</v>
      </c>
      <c r="C144" s="15">
        <f t="shared" si="26"/>
        <v>0.022194988569120663</v>
      </c>
      <c r="D144" s="15">
        <f t="shared" si="27"/>
        <v>0.0010990836927733223</v>
      </c>
      <c r="E144" s="15">
        <f t="shared" si="28"/>
        <v>2.022573136306493E-05</v>
      </c>
      <c r="F144" s="15">
        <f t="shared" si="29"/>
        <v>-4.830971681212087E-07</v>
      </c>
      <c r="G144" s="15">
        <f t="shared" si="30"/>
        <v>6.643996827342717E-09</v>
      </c>
      <c r="H144" s="2">
        <f t="shared" si="25"/>
        <v>81599.99999999999</v>
      </c>
      <c r="I144" s="2">
        <f t="shared" si="31"/>
        <v>400.00000000000006</v>
      </c>
    </row>
    <row r="145" spans="2:9" ht="12.75">
      <c r="B145">
        <v>48</v>
      </c>
      <c r="C145" s="15">
        <f t="shared" si="26"/>
        <v>0.03670669124430185</v>
      </c>
      <c r="D145" s="15">
        <f t="shared" si="27"/>
        <v>0.001308855509845161</v>
      </c>
      <c r="E145" s="15">
        <f t="shared" si="28"/>
        <v>1.4884637703548379E-05</v>
      </c>
      <c r="F145" s="15">
        <f t="shared" si="29"/>
        <v>-4.088676675056408E-07</v>
      </c>
      <c r="G145" s="15">
        <f t="shared" si="30"/>
        <v>5.752360274026876E-09</v>
      </c>
      <c r="H145" s="2">
        <f t="shared" si="25"/>
        <v>76800.00000000001</v>
      </c>
      <c r="I145" s="2">
        <f t="shared" si="31"/>
        <v>400</v>
      </c>
    </row>
    <row r="146" spans="1:9" ht="12.75">
      <c r="A146" t="s">
        <v>85</v>
      </c>
      <c r="B146">
        <v>60</v>
      </c>
      <c r="C146" s="15">
        <f t="shared" si="26"/>
        <v>0.053371729795821755</v>
      </c>
      <c r="D146" s="15">
        <f t="shared" si="27"/>
        <v>0.0014596323419835341</v>
      </c>
      <c r="E146" s="15">
        <f t="shared" si="28"/>
        <v>1.037354463999087E-05</v>
      </c>
      <c r="F146" s="15">
        <f t="shared" si="29"/>
        <v>-3.4448672757488123E-07</v>
      </c>
      <c r="G146" s="15">
        <f t="shared" si="30"/>
        <v>4.9992831465156E-09</v>
      </c>
      <c r="H146" s="2">
        <f t="shared" si="25"/>
        <v>72000</v>
      </c>
      <c r="I146" s="2">
        <f t="shared" si="31"/>
        <v>400</v>
      </c>
    </row>
    <row r="147" spans="2:9" ht="12.75">
      <c r="B147">
        <v>72</v>
      </c>
      <c r="C147" s="15">
        <f t="shared" si="26"/>
        <v>0.07153920446204924</v>
      </c>
      <c r="D147" s="15">
        <f t="shared" si="27"/>
        <v>0.0015607036314287397</v>
      </c>
      <c r="E147" s="15">
        <f t="shared" si="28"/>
        <v>6.583791651343361E-06</v>
      </c>
      <c r="F147" s="15">
        <f t="shared" si="29"/>
        <v>-2.8840357861969505E-07</v>
      </c>
      <c r="G147" s="15">
        <f t="shared" si="30"/>
        <v>4.366625771804457E-09</v>
      </c>
      <c r="H147" s="2">
        <f t="shared" si="25"/>
        <v>67199.99999999999</v>
      </c>
      <c r="I147" s="2">
        <f t="shared" si="31"/>
        <v>400.0000000000001</v>
      </c>
    </row>
    <row r="148" spans="2:9" ht="12.75">
      <c r="B148">
        <v>84</v>
      </c>
      <c r="C148" s="15">
        <f t="shared" si="26"/>
        <v>0.09066229670428515</v>
      </c>
      <c r="D148" s="15">
        <f t="shared" si="27"/>
        <v>0.0016201615429337823</v>
      </c>
      <c r="E148" s="15">
        <f t="shared" si="28"/>
        <v>3.424093426353869E-06</v>
      </c>
      <c r="F148" s="15">
        <f t="shared" si="29"/>
        <v>-2.3926732317428415E-07</v>
      </c>
      <c r="G148" s="15">
        <f t="shared" si="30"/>
        <v>3.839149076122841E-09</v>
      </c>
      <c r="H148" s="2">
        <f t="shared" si="25"/>
        <v>62399.999999999985</v>
      </c>
      <c r="I148" s="2">
        <f t="shared" si="31"/>
        <v>399.99999999999983</v>
      </c>
    </row>
    <row r="149" spans="2:9" ht="12.75">
      <c r="B149">
        <v>96</v>
      </c>
      <c r="C149" s="15">
        <f t="shared" si="26"/>
        <v>0.11028509776771214</v>
      </c>
      <c r="D149" s="15">
        <f t="shared" si="27"/>
        <v>0.0016450958830059189</v>
      </c>
      <c r="E149" s="15">
        <f t="shared" si="28"/>
        <v>8.183410373971695E-07</v>
      </c>
      <c r="F149" s="15">
        <f t="shared" si="29"/>
        <v>-1.958943964032814E-07</v>
      </c>
      <c r="G149" s="15">
        <f t="shared" si="30"/>
        <v>3.4041475152076602E-09</v>
      </c>
      <c r="H149" s="2">
        <f t="shared" si="25"/>
        <v>57600.00000000003</v>
      </c>
      <c r="I149" s="2">
        <f t="shared" si="31"/>
        <v>399.9999999999997</v>
      </c>
    </row>
    <row r="150" spans="2:9" ht="12.75">
      <c r="B150">
        <v>108</v>
      </c>
      <c r="C150" s="15">
        <f t="shared" si="26"/>
        <v>0.13003162702303606</v>
      </c>
      <c r="D150" s="15">
        <f t="shared" si="27"/>
        <v>0.0016417648749401962</v>
      </c>
      <c r="E150" s="15">
        <f t="shared" si="28"/>
        <v>-1.2962313260120625E-06</v>
      </c>
      <c r="F150" s="15">
        <f t="shared" si="29"/>
        <v>-1.572400570974144E-07</v>
      </c>
      <c r="G150" s="15">
        <f t="shared" si="30"/>
        <v>3.0511430307257707E-09</v>
      </c>
      <c r="H150" s="2">
        <f t="shared" si="25"/>
        <v>52800.000000000015</v>
      </c>
      <c r="I150" s="2">
        <f t="shared" si="31"/>
        <v>400</v>
      </c>
    </row>
    <row r="151" spans="1:9" ht="12.75">
      <c r="A151" t="s">
        <v>84</v>
      </c>
      <c r="B151">
        <v>120</v>
      </c>
      <c r="C151" s="15">
        <f t="shared" si="26"/>
        <v>0.1495967755691763</v>
      </c>
      <c r="D151" s="15">
        <f t="shared" si="27"/>
        <v>0.0016157459031722055</v>
      </c>
      <c r="E151" s="15">
        <f t="shared" si="28"/>
        <v>-2.9705582226529746E-06</v>
      </c>
      <c r="F151" s="15">
        <f t="shared" si="29"/>
        <v>-1.2237322256993686E-07</v>
      </c>
      <c r="G151" s="15">
        <f t="shared" si="30"/>
        <v>2.771632661049905E-09</v>
      </c>
      <c r="H151" s="2">
        <f t="shared" si="25"/>
        <v>47999.999999999985</v>
      </c>
      <c r="I151" s="2">
        <f t="shared" si="31"/>
        <v>400.00000000000034</v>
      </c>
    </row>
    <row r="152" spans="2:9" ht="12.75">
      <c r="B152">
        <v>132</v>
      </c>
      <c r="C152" s="15">
        <f t="shared" si="26"/>
        <v>0.16873895695190508</v>
      </c>
      <c r="D152" s="15">
        <f t="shared" si="27"/>
        <v>0.0015720698579901808</v>
      </c>
      <c r="E152" s="15">
        <f t="shared" si="28"/>
        <v>-4.2449698408927675E-06</v>
      </c>
      <c r="F152" s="15">
        <f t="shared" si="29"/>
        <v>-9.045404129180525E-08</v>
      </c>
      <c r="G152" s="15">
        <f t="shared" si="30"/>
        <v>2.5588837269868644E-09</v>
      </c>
      <c r="H152" s="2">
        <f t="shared" si="25"/>
        <v>43199.999999999985</v>
      </c>
      <c r="I152" s="2">
        <f t="shared" si="31"/>
        <v>399.9999999999999</v>
      </c>
    </row>
    <row r="153" spans="2:9" ht="12.75">
      <c r="B153">
        <v>144</v>
      </c>
      <c r="C153" s="15">
        <f t="shared" si="26"/>
        <v>0.1872742879733264</v>
      </c>
      <c r="D153" s="15">
        <f t="shared" si="27"/>
        <v>0.0015153423166217863</v>
      </c>
      <c r="E153" s="15">
        <f t="shared" si="28"/>
        <v>-5.150163448226917E-06</v>
      </c>
      <c r="F153" s="15">
        <f t="shared" si="29"/>
        <v>-6.071366304860976E-08</v>
      </c>
      <c r="G153" s="15">
        <f t="shared" si="30"/>
        <v>2.4077716590138814E-09</v>
      </c>
      <c r="H153" s="2">
        <f t="shared" si="25"/>
        <v>38400.00000000005</v>
      </c>
      <c r="I153" s="2">
        <f t="shared" si="31"/>
        <v>400.0000000000004</v>
      </c>
    </row>
    <row r="154" spans="2:9" ht="12.75">
      <c r="B154">
        <v>156</v>
      </c>
      <c r="C154" s="15">
        <f t="shared" si="26"/>
        <v>0.2050721594230034</v>
      </c>
      <c r="D154" s="15">
        <f t="shared" si="27"/>
        <v>0.0014498544796333912</v>
      </c>
      <c r="E154" s="15">
        <f t="shared" si="28"/>
        <v>-5.70794280876254E-06</v>
      </c>
      <c r="F154" s="15">
        <f t="shared" si="29"/>
        <v>-3.2435719334852426E-08</v>
      </c>
      <c r="G154" s="15">
        <f t="shared" si="30"/>
        <v>2.314656559702233E-09</v>
      </c>
      <c r="H154" s="2">
        <f t="shared" si="25"/>
        <v>33600</v>
      </c>
      <c r="I154" s="2">
        <f t="shared" si="31"/>
        <v>400.00000000000034</v>
      </c>
    </row>
    <row r="155" spans="2:9" ht="12.75">
      <c r="B155">
        <v>168</v>
      </c>
      <c r="C155" s="15">
        <f t="shared" si="26"/>
        <v>0.22205209004113863</v>
      </c>
      <c r="D155" s="15">
        <f t="shared" si="27"/>
        <v>0.0013796865348117172</v>
      </c>
      <c r="E155" s="15">
        <f t="shared" si="28"/>
        <v>-5.931743379292914E-06</v>
      </c>
      <c r="F155" s="15">
        <f t="shared" si="29"/>
        <v>-4.939067896353658E-09</v>
      </c>
      <c r="G155" s="15">
        <f t="shared" si="30"/>
        <v>2.27729552803744E-09</v>
      </c>
      <c r="H155" s="2">
        <f t="shared" si="25"/>
        <v>28799.99999999999</v>
      </c>
      <c r="I155" s="2">
        <f t="shared" si="31"/>
        <v>400.0000000000003</v>
      </c>
    </row>
    <row r="156" spans="1:9" ht="12.75">
      <c r="A156" t="s">
        <v>86</v>
      </c>
      <c r="B156">
        <v>180</v>
      </c>
      <c r="C156" s="15">
        <f t="shared" si="26"/>
        <v>0.23818178793395767</v>
      </c>
      <c r="D156" s="15">
        <f t="shared" si="27"/>
        <v>0.001308805938295418</v>
      </c>
      <c r="E156" s="15">
        <f t="shared" si="28"/>
        <v>-5.826955934573339E-06</v>
      </c>
      <c r="F156" s="15">
        <f t="shared" si="29"/>
        <v>2.2438614218403722E-08</v>
      </c>
      <c r="G156" s="15">
        <f t="shared" si="30"/>
        <v>2.294788633756358E-09</v>
      </c>
      <c r="H156" s="2">
        <f t="shared" si="25"/>
        <v>24000.00000000002</v>
      </c>
      <c r="I156" s="2">
        <f t="shared" si="31"/>
        <v>400.00000000000097</v>
      </c>
    </row>
    <row r="157" spans="2:9" ht="12.75">
      <c r="B157">
        <v>192</v>
      </c>
      <c r="C157" s="15">
        <f t="shared" si="26"/>
        <v>0.2534763727458206</v>
      </c>
      <c r="D157" s="15">
        <f t="shared" si="27"/>
        <v>0.0012411629802938319</v>
      </c>
      <c r="E157" s="15">
        <f t="shared" si="28"/>
        <v>-5.391056417089709E-06</v>
      </c>
      <c r="F157" s="15">
        <f t="shared" si="29"/>
        <v>5.035678429876749E-08</v>
      </c>
      <c r="G157" s="15">
        <f t="shared" si="30"/>
        <v>2.367557240363472E-09</v>
      </c>
      <c r="H157" s="2">
        <f t="shared" si="25"/>
        <v>19199.999999999956</v>
      </c>
      <c r="I157" s="2">
        <f t="shared" si="31"/>
        <v>400.0000000000002</v>
      </c>
    </row>
    <row r="158" spans="2:9" ht="12.75">
      <c r="B158">
        <v>204</v>
      </c>
      <c r="C158" s="15">
        <f t="shared" si="26"/>
        <v>0.2679987398521989</v>
      </c>
      <c r="D158" s="15">
        <f t="shared" si="27"/>
        <v>0.0011807859373232227</v>
      </c>
      <c r="E158" s="15">
        <f t="shared" si="28"/>
        <v>-4.6135451390665526E-06</v>
      </c>
      <c r="F158" s="15">
        <f t="shared" si="29"/>
        <v>7.948791858606998E-08</v>
      </c>
      <c r="G158" s="15">
        <f t="shared" si="30"/>
        <v>2.49735415468374E-09</v>
      </c>
      <c r="H158" s="2">
        <f t="shared" si="25"/>
        <v>14400.000000000011</v>
      </c>
      <c r="I158" s="2">
        <f t="shared" si="31"/>
        <v>400.000000000001</v>
      </c>
    </row>
    <row r="159" spans="2:9" ht="12.75">
      <c r="B159">
        <v>216</v>
      </c>
      <c r="C159" s="15">
        <f t="shared" si="26"/>
        <v>0.28186107534599936</v>
      </c>
      <c r="D159" s="15">
        <f t="shared" si="27"/>
        <v>0.0011318781029304881</v>
      </c>
      <c r="E159" s="15">
        <f t="shared" si="28"/>
        <v>-3.4756938722445327E-06</v>
      </c>
      <c r="F159" s="15">
        <f t="shared" si="29"/>
        <v>1.1053371048051134E-07</v>
      </c>
      <c r="G159" s="15">
        <f t="shared" si="30"/>
        <v>2.6873058474288135E-09</v>
      </c>
      <c r="H159" s="2">
        <f t="shared" si="25"/>
        <v>9600.000000000113</v>
      </c>
      <c r="I159" s="2">
        <f t="shared" si="31"/>
        <v>399.99999999999875</v>
      </c>
    </row>
    <row r="160" spans="2:9" ht="12.75">
      <c r="B160">
        <v>228</v>
      </c>
      <c r="C160" s="15">
        <f t="shared" si="26"/>
        <v>0.29522755830929814</v>
      </c>
      <c r="D160" s="15">
        <f t="shared" si="27"/>
        <v>0.0010989190341230094</v>
      </c>
      <c r="E160" s="15">
        <f t="shared" si="28"/>
        <v>-1.9500947334822248E-06</v>
      </c>
      <c r="F160" s="15">
        <f t="shared" si="29"/>
        <v>1.4424197251358364E-07</v>
      </c>
      <c r="G160" s="15">
        <f t="shared" si="30"/>
        <v>2.9419877617599765E-09</v>
      </c>
      <c r="H160" s="2">
        <f t="shared" si="25"/>
        <v>4799.9999999998945</v>
      </c>
      <c r="I160" s="2">
        <f t="shared" si="31"/>
        <v>400.0000000000004</v>
      </c>
    </row>
    <row r="161" spans="1:9" ht="12.75">
      <c r="A161" t="s">
        <v>83</v>
      </c>
      <c r="B161">
        <v>240</v>
      </c>
      <c r="C161" s="15">
        <f t="shared" si="26"/>
        <v>0.30831831546122557</v>
      </c>
      <c r="D161" s="15">
        <f t="shared" si="27"/>
        <v>0.0010867724522679138</v>
      </c>
      <c r="E161" s="15">
        <f t="shared" si="28"/>
        <v>3.049318610115481E-20</v>
      </c>
      <c r="F161" s="15">
        <f t="shared" si="29"/>
        <v>1.8142464921060333E-07</v>
      </c>
      <c r="G161" s="15">
        <f t="shared" si="30"/>
        <v>3.267534523836214E-09</v>
      </c>
      <c r="H161" s="2">
        <f t="shared" si="25"/>
        <v>0</v>
      </c>
      <c r="I161" s="2">
        <f t="shared" si="31"/>
        <v>400.0000000000014</v>
      </c>
    </row>
    <row r="163" ht="12.75">
      <c r="I163" t="s">
        <v>81</v>
      </c>
    </row>
    <row r="165" spans="2:11" ht="12.75">
      <c r="B165" s="4" t="s">
        <v>82</v>
      </c>
      <c r="C165" s="5"/>
      <c r="D165" s="4" t="s">
        <v>92</v>
      </c>
      <c r="E165" s="5"/>
      <c r="F165" s="4" t="s">
        <v>95</v>
      </c>
      <c r="G165" s="5"/>
      <c r="H165" s="4" t="s">
        <v>96</v>
      </c>
      <c r="I165" s="5"/>
      <c r="J165" s="4" t="s">
        <v>83</v>
      </c>
      <c r="K165" s="10"/>
    </row>
    <row r="166" spans="1:11" ht="12.75">
      <c r="A166" s="1" t="str">
        <f>B89</f>
        <v>S</v>
      </c>
      <c r="B166" s="6" t="s">
        <v>90</v>
      </c>
      <c r="C166" s="7" t="s">
        <v>91</v>
      </c>
      <c r="D166" s="6" t="s">
        <v>93</v>
      </c>
      <c r="E166" s="7" t="s">
        <v>94</v>
      </c>
      <c r="F166" s="6" t="s">
        <v>93</v>
      </c>
      <c r="G166" s="7" t="s">
        <v>94</v>
      </c>
      <c r="H166" s="6" t="s">
        <v>93</v>
      </c>
      <c r="I166" s="7" t="s">
        <v>94</v>
      </c>
      <c r="J166" s="6" t="s">
        <v>93</v>
      </c>
      <c r="K166" s="7" t="s">
        <v>94</v>
      </c>
    </row>
    <row r="167" spans="1:11" ht="12.75">
      <c r="A167">
        <f>B90</f>
        <v>0</v>
      </c>
      <c r="B167" s="8">
        <f>-$C$134*$E$141*L63</f>
        <v>69945.20383075632</v>
      </c>
      <c r="C167" s="13">
        <f>$C$134*$F$141*K90/0.3</f>
        <v>0</v>
      </c>
      <c r="D167" s="8">
        <f>-$C$134*$E$146*L63</f>
        <v>17018.540949379312</v>
      </c>
      <c r="E167" s="13">
        <f>$C$134*$F$146*K90/0.3</f>
        <v>0</v>
      </c>
      <c r="F167" s="8">
        <f>-$C$134*$E$151*L63</f>
        <v>-4873.4129469923955</v>
      </c>
      <c r="G167" s="13">
        <f>$C$134*$F$151*K90/0.3</f>
        <v>0</v>
      </c>
      <c r="H167" s="8">
        <f>-$C$134*$E$156*L63</f>
        <v>-9559.537421805748</v>
      </c>
      <c r="I167" s="13">
        <f>$C$134*$F$156*K90/0.3</f>
        <v>0</v>
      </c>
      <c r="J167" s="8">
        <f>-$C$134*$E$161*L63</f>
        <v>5.002624988366599E-11</v>
      </c>
      <c r="K167" s="13">
        <f>$C$134*$F$161*K90/0.3</f>
        <v>0</v>
      </c>
    </row>
    <row r="168" spans="1:11" ht="12.75">
      <c r="A168">
        <f>B91</f>
        <v>2</v>
      </c>
      <c r="B168" s="8">
        <f>-$C$134*$E$141*L64</f>
        <v>40271.48099346576</v>
      </c>
      <c r="C168" s="13">
        <f>$C$134*$F$141*K91/0.3</f>
        <v>2027.2904483430805</v>
      </c>
      <c r="D168" s="8">
        <f>-$C$134*$E$146*L64</f>
        <v>9798.553879945664</v>
      </c>
      <c r="E168" s="13">
        <f>$C$134*$F$146*K91/0.3</f>
        <v>890.5474031707217</v>
      </c>
      <c r="F168" s="8">
        <f>-$C$134*$E$151*L64</f>
        <v>-2805.904424025924</v>
      </c>
      <c r="G168" s="13">
        <f>$C$134*$F$151*K91/0.3</f>
        <v>316.3522622322255</v>
      </c>
      <c r="H168" s="8">
        <f>-$C$134*$E$156*L64</f>
        <v>-5503.9760913427035</v>
      </c>
      <c r="I168" s="13">
        <f>$C$134*$F$156*K91/0.3</f>
        <v>-58.00702327089055</v>
      </c>
      <c r="J168" s="8">
        <f>-$C$134*$E$161*L64</f>
        <v>2.8802992357262236E-11</v>
      </c>
      <c r="K168" s="13">
        <f>$C$134*$F$161*K91/0.3</f>
        <v>-469.0086360164399</v>
      </c>
    </row>
    <row r="169" spans="1:11" ht="12.75">
      <c r="A169">
        <f>B92</f>
        <v>4</v>
      </c>
      <c r="B169" s="8">
        <f>-$C$134*$E$141*L65</f>
        <v>10597.758156175196</v>
      </c>
      <c r="C169" s="13">
        <f>$C$134*$F$141*K92/0.3</f>
        <v>2962.9629629629635</v>
      </c>
      <c r="D169" s="8">
        <f>-$C$134*$E$146*L65</f>
        <v>2578.5668105120158</v>
      </c>
      <c r="E169" s="13">
        <f>$C$134*$F$146*K92/0.3</f>
        <v>1301.5692815572088</v>
      </c>
      <c r="F169" s="8">
        <f>-$C$134*$E$151*L65</f>
        <v>-738.3959010594534</v>
      </c>
      <c r="G169" s="13">
        <f>$C$134*$F$151*K92/0.3</f>
        <v>462.3609986470987</v>
      </c>
      <c r="H169" s="8">
        <f>-$C$134*$E$156*L65</f>
        <v>-1448.4147608796582</v>
      </c>
      <c r="I169" s="13">
        <f>$C$134*$F$156*K92/0.3</f>
        <v>-84.77949554976311</v>
      </c>
      <c r="J169" s="8">
        <f>-$C$134*$E$161*L65</f>
        <v>7.57973483085848E-12</v>
      </c>
      <c r="K169" s="13">
        <f>$C$134*$F$161*K92/0.3</f>
        <v>-685.4741603317199</v>
      </c>
    </row>
    <row r="170" spans="1:11" ht="12.75">
      <c r="A170">
        <f>B93</f>
        <v>6</v>
      </c>
      <c r="B170" s="8">
        <f>-$C$134*$E$141*L66</f>
        <v>-19075.964681115358</v>
      </c>
      <c r="C170" s="13">
        <f>$C$134*$F$141*K93/0.3</f>
        <v>2807.01754385965</v>
      </c>
      <c r="D170" s="8">
        <f>-$C$134*$E$146*L66</f>
        <v>-4641.42025892163</v>
      </c>
      <c r="E170" s="13">
        <f>$C$134*$F$146*K93/0.3</f>
        <v>1233.065635159461</v>
      </c>
      <c r="F170" s="8">
        <f>-$C$134*$E$151*L66</f>
        <v>1329.1126219070168</v>
      </c>
      <c r="G170" s="13">
        <f>$C$134*$F$151*K93/0.3</f>
        <v>438.02620924461985</v>
      </c>
      <c r="H170" s="8">
        <f>-$C$134*$E$156*L66</f>
        <v>2607.146569583386</v>
      </c>
      <c r="I170" s="13">
        <f>$C$134*$F$156*K93/0.3</f>
        <v>-80.3174168366177</v>
      </c>
      <c r="J170" s="8">
        <f>-$C$134*$E$161*L66</f>
        <v>-1.364352269554527E-11</v>
      </c>
      <c r="K170" s="13">
        <f>$C$134*$F$161*K93/0.3</f>
        <v>-649.3965729458398</v>
      </c>
    </row>
    <row r="171" spans="1:11" ht="12.75">
      <c r="A171" s="12">
        <f>B93</f>
        <v>6</v>
      </c>
      <c r="B171" s="16">
        <f>-$C$134*$E$141*L66</f>
        <v>-19075.964681115358</v>
      </c>
      <c r="C171" s="13">
        <f>$C$134*$F$141*K93/0.6</f>
        <v>1403.508771929825</v>
      </c>
      <c r="D171" s="16">
        <f>-$C$134*$E$146*L66</f>
        <v>-4641.42025892163</v>
      </c>
      <c r="E171" s="13">
        <f>$C$134*$F$146*K93/0.6</f>
        <v>616.5328175797305</v>
      </c>
      <c r="F171" s="16">
        <f>-$C$134*$E$151*L66</f>
        <v>1329.1126219070168</v>
      </c>
      <c r="G171" s="13">
        <f>$C$134*$F$151*K93/0.6</f>
        <v>219.01310462230992</v>
      </c>
      <c r="H171" s="16">
        <f>-$C$134*$E$156*L66</f>
        <v>2607.146569583386</v>
      </c>
      <c r="I171" s="13">
        <f>$C$134*$F$156*K93/0.6</f>
        <v>-40.15870841830885</v>
      </c>
      <c r="J171" s="16">
        <f>-$C$134*$E$161*L66</f>
        <v>-1.364352269554527E-11</v>
      </c>
      <c r="K171" s="13">
        <f>$C$134*$F$161*K93/0.6</f>
        <v>-324.6982864729199</v>
      </c>
    </row>
    <row r="172" spans="1:11" ht="12.75">
      <c r="A172">
        <f>B94</f>
        <v>8</v>
      </c>
      <c r="B172" s="8">
        <f>-$C$134*$E$141*L67</f>
        <v>-15896.637234262802</v>
      </c>
      <c r="C172" s="13">
        <f aca="true" t="shared" si="32" ref="C172:C182">$C$134*$F$141*K94/0.6</f>
        <v>760.2339181286552</v>
      </c>
      <c r="D172" s="8">
        <f>-$C$134*$E$146*L67</f>
        <v>-3867.850215768026</v>
      </c>
      <c r="E172" s="13">
        <f aca="true" t="shared" si="33" ref="E172:E182">$C$134*$F$146*K94/0.6</f>
        <v>333.9552761890207</v>
      </c>
      <c r="F172" s="8">
        <f>-$C$134*$E$151*L67</f>
        <v>1107.5938515891808</v>
      </c>
      <c r="G172" s="13">
        <f aca="true" t="shared" si="34" ref="G172:G182">$C$134*$F$151*K94/0.6</f>
        <v>118.63209833708456</v>
      </c>
      <c r="H172" s="8">
        <f>-$C$134*$E$156*L67</f>
        <v>2172.6221413194885</v>
      </c>
      <c r="I172" s="13">
        <f aca="true" t="shared" si="35" ref="I172:I182">$C$134*$F$156*K94/0.6</f>
        <v>-21.75263372658396</v>
      </c>
      <c r="J172" s="8">
        <f>-$C$134*$E$161*L67</f>
        <v>-1.1369602246287727E-11</v>
      </c>
      <c r="K172" s="13">
        <f aca="true" t="shared" si="36" ref="K172:K183">$C$134*$F$161*K94/0.6</f>
        <v>-175.87823850616496</v>
      </c>
    </row>
    <row r="173" spans="1:11" ht="12.75">
      <c r="A173">
        <f>B95</f>
        <v>10</v>
      </c>
      <c r="B173" s="8">
        <f>-$C$134*$E$141*L68</f>
        <v>-12717.309787410246</v>
      </c>
      <c r="C173" s="13">
        <f t="shared" si="32"/>
        <v>233.9181286549708</v>
      </c>
      <c r="D173" s="8">
        <f>-$C$134*$E$146*L68</f>
        <v>-3094.2801726144216</v>
      </c>
      <c r="E173" s="13">
        <f t="shared" si="33"/>
        <v>102.75546959662174</v>
      </c>
      <c r="F173" s="8">
        <f>-$C$134*$E$151*L68</f>
        <v>886.0750812713449</v>
      </c>
      <c r="G173" s="13">
        <f t="shared" si="34"/>
        <v>36.502184103718314</v>
      </c>
      <c r="H173" s="8">
        <f>-$C$134*$E$156*L68</f>
        <v>1738.0977130555914</v>
      </c>
      <c r="I173" s="13">
        <f t="shared" si="35"/>
        <v>-6.69311806971814</v>
      </c>
      <c r="J173" s="8">
        <f>-$C$134*$E$161*L68</f>
        <v>-9.095681797030184E-12</v>
      </c>
      <c r="K173" s="13">
        <f t="shared" si="36"/>
        <v>-54.11638107881998</v>
      </c>
    </row>
    <row r="174" spans="1:11" ht="12.75">
      <c r="A174">
        <f>B96</f>
        <v>12</v>
      </c>
      <c r="B174" s="8">
        <f>-$C$134*$E$141*L69</f>
        <v>-9537.982340557688</v>
      </c>
      <c r="C174" s="13">
        <f t="shared" si="32"/>
        <v>-175.4385964912283</v>
      </c>
      <c r="D174" s="8">
        <f>-$C$134*$E$146*L69</f>
        <v>-2320.7101294608174</v>
      </c>
      <c r="E174" s="13">
        <f t="shared" si="33"/>
        <v>-77.0666021974664</v>
      </c>
      <c r="F174" s="8">
        <f>-$C$134*$E$151*L69</f>
        <v>664.556310953509</v>
      </c>
      <c r="G174" s="13">
        <f t="shared" si="34"/>
        <v>-27.376638077788776</v>
      </c>
      <c r="H174" s="8">
        <f>-$C$134*$E$156*L69</f>
        <v>1303.573284791694</v>
      </c>
      <c r="I174" s="13">
        <f t="shared" si="35"/>
        <v>5.019838552288611</v>
      </c>
      <c r="J174" s="8">
        <f>-$C$134*$E$161*L69</f>
        <v>-6.821761347772641E-12</v>
      </c>
      <c r="K174" s="13">
        <f t="shared" si="36"/>
        <v>40.58728580911504</v>
      </c>
    </row>
    <row r="175" spans="1:11" ht="12.75">
      <c r="A175">
        <f>B97</f>
        <v>14</v>
      </c>
      <c r="B175" s="8">
        <f>-$C$134*$E$141*L70</f>
        <v>-6358.654893705132</v>
      </c>
      <c r="C175" s="13">
        <f t="shared" si="32"/>
        <v>-467.83625730994214</v>
      </c>
      <c r="D175" s="8">
        <f>-$C$134*$E$146*L70</f>
        <v>-1547.1400863072129</v>
      </c>
      <c r="E175" s="13">
        <f t="shared" si="33"/>
        <v>-205.5109391932437</v>
      </c>
      <c r="F175" s="8">
        <f>-$C$134*$E$151*L70</f>
        <v>443.03754063567305</v>
      </c>
      <c r="G175" s="13">
        <f t="shared" si="34"/>
        <v>-73.00436820743671</v>
      </c>
      <c r="H175" s="8">
        <f>-$C$134*$E$156*L70</f>
        <v>869.0488565277968</v>
      </c>
      <c r="I175" s="13">
        <f t="shared" si="35"/>
        <v>13.386236139436294</v>
      </c>
      <c r="J175" s="8">
        <f>-$C$134*$E$161*L70</f>
        <v>-4.547840898515098E-12</v>
      </c>
      <c r="K175" s="13">
        <f t="shared" si="36"/>
        <v>108.2327621576401</v>
      </c>
    </row>
    <row r="176" spans="1:11" ht="12.75">
      <c r="A176">
        <f>B98</f>
        <v>16</v>
      </c>
      <c r="B176" s="8">
        <f>-$C$134*$E$141*L71</f>
        <v>-3179.3274468525747</v>
      </c>
      <c r="C176" s="13">
        <f t="shared" si="32"/>
        <v>-643.2748538011707</v>
      </c>
      <c r="D176" s="8">
        <f>-$C$134*$E$146*L71</f>
        <v>-773.5700431536086</v>
      </c>
      <c r="E176" s="13">
        <f t="shared" si="33"/>
        <v>-282.5775413907102</v>
      </c>
      <c r="F176" s="8">
        <f>-$C$134*$E$151*L71</f>
        <v>221.51877031783715</v>
      </c>
      <c r="G176" s="13">
        <f t="shared" si="34"/>
        <v>-100.38100628522552</v>
      </c>
      <c r="H176" s="8">
        <f>-$C$134*$E$156*L71</f>
        <v>434.5244282638996</v>
      </c>
      <c r="I176" s="13">
        <f t="shared" si="35"/>
        <v>18.40607469172491</v>
      </c>
      <c r="J176" s="8">
        <f>-$C$134*$E$161*L71</f>
        <v>-2.2739204492575552E-12</v>
      </c>
      <c r="K176" s="13">
        <f t="shared" si="36"/>
        <v>148.82004796675517</v>
      </c>
    </row>
    <row r="177" spans="1:11" ht="12.75">
      <c r="A177">
        <f>B99</f>
        <v>18</v>
      </c>
      <c r="B177" s="8">
        <f>-$C$134*$E$141*L72</f>
        <v>0</v>
      </c>
      <c r="C177" s="13">
        <f t="shared" si="32"/>
        <v>-701.7543859649137</v>
      </c>
      <c r="D177" s="8">
        <f>-$C$134*$E$146*L72</f>
        <v>0</v>
      </c>
      <c r="E177" s="13">
        <f t="shared" si="33"/>
        <v>-308.26640878986575</v>
      </c>
      <c r="F177" s="8">
        <f>-$C$134*$E$151*L72</f>
        <v>0</v>
      </c>
      <c r="G177" s="13">
        <f t="shared" si="34"/>
        <v>-109.50655231115515</v>
      </c>
      <c r="H177" s="8">
        <f>-$C$134*$E$156*L72</f>
        <v>0</v>
      </c>
      <c r="I177" s="13">
        <f t="shared" si="35"/>
        <v>20.07935420915446</v>
      </c>
      <c r="J177" s="8">
        <f>-$C$134*$E$161*L72</f>
        <v>0</v>
      </c>
      <c r="K177" s="13">
        <f t="shared" si="36"/>
        <v>162.34914323646024</v>
      </c>
    </row>
    <row r="178" spans="1:11" ht="12.75">
      <c r="A178">
        <f>B100</f>
        <v>20</v>
      </c>
      <c r="B178" s="8">
        <f>-$C$134*$E$141*L73</f>
        <v>3179.3274468525397</v>
      </c>
      <c r="C178" s="13">
        <f t="shared" si="32"/>
        <v>-643.2748538011713</v>
      </c>
      <c r="D178" s="8">
        <f>-$C$134*$E$146*L73</f>
        <v>773.5700431536001</v>
      </c>
      <c r="E178" s="13">
        <f t="shared" si="33"/>
        <v>-282.5775413907105</v>
      </c>
      <c r="F178" s="8">
        <f>-$C$134*$E$151*L73</f>
        <v>-221.51877031783468</v>
      </c>
      <c r="G178" s="13">
        <f t="shared" si="34"/>
        <v>-100.38100628522562</v>
      </c>
      <c r="H178" s="8">
        <f>-$C$134*$E$156*L73</f>
        <v>-434.52442826389483</v>
      </c>
      <c r="I178" s="13">
        <f t="shared" si="35"/>
        <v>18.406074691724932</v>
      </c>
      <c r="J178" s="8">
        <f>-$C$134*$E$161*L73</f>
        <v>2.27392044925753E-12</v>
      </c>
      <c r="K178" s="13">
        <f t="shared" si="36"/>
        <v>148.8200479667553</v>
      </c>
    </row>
    <row r="179" spans="1:11" ht="12.75">
      <c r="A179">
        <f>B101</f>
        <v>22</v>
      </c>
      <c r="B179" s="8">
        <f>-$C$134*$E$141*L74</f>
        <v>6358.654893705097</v>
      </c>
      <c r="C179" s="13">
        <f t="shared" si="32"/>
        <v>-467.836257309944</v>
      </c>
      <c r="D179" s="8">
        <f>-$C$134*$E$146*L74</f>
        <v>1547.1400863072045</v>
      </c>
      <c r="E179" s="13">
        <f t="shared" si="33"/>
        <v>-205.51093919324455</v>
      </c>
      <c r="F179" s="8">
        <f>-$C$134*$E$151*L74</f>
        <v>-443.0375406356706</v>
      </c>
      <c r="G179" s="13">
        <f t="shared" si="34"/>
        <v>-73.00436820743701</v>
      </c>
      <c r="H179" s="8">
        <f>-$C$134*$E$156*L74</f>
        <v>-869.048856527792</v>
      </c>
      <c r="I179" s="13">
        <f t="shared" si="35"/>
        <v>13.38623613943635</v>
      </c>
      <c r="J179" s="8">
        <f>-$C$134*$E$161*L74</f>
        <v>4.547840898515073E-12</v>
      </c>
      <c r="K179" s="13">
        <f t="shared" si="36"/>
        <v>108.23276215764052</v>
      </c>
    </row>
    <row r="180" spans="1:11" ht="12.75">
      <c r="A180">
        <f>B102</f>
        <v>24</v>
      </c>
      <c r="B180" s="8">
        <f>-$C$134*$E$141*L75</f>
        <v>9537.982340557663</v>
      </c>
      <c r="C180" s="13">
        <f t="shared" si="32"/>
        <v>-175.43859649123132</v>
      </c>
      <c r="D180" s="8">
        <f>-$C$134*$E$146*L75</f>
        <v>2320.710129460811</v>
      </c>
      <c r="E180" s="13">
        <f t="shared" si="33"/>
        <v>-77.06660219746772</v>
      </c>
      <c r="F180" s="8">
        <f>-$C$134*$E$151*L75</f>
        <v>-664.5563109535071</v>
      </c>
      <c r="G180" s="13">
        <f t="shared" si="34"/>
        <v>-27.37663807778924</v>
      </c>
      <c r="H180" s="8">
        <f>-$C$134*$E$156*L75</f>
        <v>-1303.5732847916904</v>
      </c>
      <c r="I180" s="13">
        <f t="shared" si="35"/>
        <v>5.019838552288697</v>
      </c>
      <c r="J180" s="8">
        <f>-$C$134*$E$161*L75</f>
        <v>6.821761347772622E-12</v>
      </c>
      <c r="K180" s="13">
        <f t="shared" si="36"/>
        <v>40.58728580911573</v>
      </c>
    </row>
    <row r="181" spans="1:11" ht="12.75">
      <c r="A181">
        <f>B103</f>
        <v>26</v>
      </c>
      <c r="B181" s="8">
        <f>-$C$134*$E$141*L76</f>
        <v>12717.309787410219</v>
      </c>
      <c r="C181" s="13">
        <f t="shared" si="32"/>
        <v>233.91812865496686</v>
      </c>
      <c r="D181" s="8">
        <f>-$C$134*$E$146*L76</f>
        <v>3094.2801726144153</v>
      </c>
      <c r="E181" s="13">
        <f t="shared" si="33"/>
        <v>102.75546959662</v>
      </c>
      <c r="F181" s="8">
        <f>-$C$134*$E$151*L76</f>
        <v>-886.075081271343</v>
      </c>
      <c r="G181" s="13">
        <f t="shared" si="34"/>
        <v>36.5021841037177</v>
      </c>
      <c r="H181" s="8">
        <f>-$C$134*$E$156*L76</f>
        <v>-1738.0977130555877</v>
      </c>
      <c r="I181" s="13">
        <f t="shared" si="35"/>
        <v>-6.693118069718027</v>
      </c>
      <c r="J181" s="8">
        <f>-$C$134*$E$161*L76</f>
        <v>9.095681797030164E-12</v>
      </c>
      <c r="K181" s="13">
        <f t="shared" si="36"/>
        <v>-54.11638107881906</v>
      </c>
    </row>
    <row r="182" spans="1:11" ht="12.75">
      <c r="A182">
        <f>B104</f>
        <v>28</v>
      </c>
      <c r="B182" s="8">
        <f>-$C$134*$E$141*L77</f>
        <v>15896.637234262776</v>
      </c>
      <c r="C182" s="13">
        <f t="shared" si="32"/>
        <v>760.2339181286503</v>
      </c>
      <c r="D182" s="8">
        <f>-$C$134*$E$146*L77</f>
        <v>3867.8502157680196</v>
      </c>
      <c r="E182" s="13">
        <f t="shared" si="33"/>
        <v>333.9552761890186</v>
      </c>
      <c r="F182" s="8">
        <f>-$C$134*$E$151*L77</f>
        <v>-1107.593851589179</v>
      </c>
      <c r="G182" s="13">
        <f t="shared" si="34"/>
        <v>118.6320983370838</v>
      </c>
      <c r="H182" s="8">
        <f>-$C$134*$E$156*L77</f>
        <v>-2172.622141319485</v>
      </c>
      <c r="I182" s="13">
        <f t="shared" si="35"/>
        <v>-21.75263372658382</v>
      </c>
      <c r="J182" s="8">
        <f>-$C$134*$E$161*L77</f>
        <v>1.1369602246287707E-11</v>
      </c>
      <c r="K182" s="13">
        <f t="shared" si="36"/>
        <v>-175.87823850616385</v>
      </c>
    </row>
    <row r="183" spans="1:11" ht="12.75">
      <c r="A183">
        <f>B105</f>
        <v>30</v>
      </c>
      <c r="B183" s="8">
        <f>-$C$134*$E$141*L78</f>
        <v>19075.964681115332</v>
      </c>
      <c r="C183" s="13">
        <f>$C$134*$F$141*K105/0.6</f>
        <v>1403.5087719298187</v>
      </c>
      <c r="D183" s="8">
        <f>-$C$134*$E$146*L78</f>
        <v>4641.420258921624</v>
      </c>
      <c r="E183" s="13">
        <f>$C$134*$F$146*K105/0.6</f>
        <v>616.5328175797279</v>
      </c>
      <c r="F183" s="8">
        <f>-$C$134*$E$151*L78</f>
        <v>-1329.112621907015</v>
      </c>
      <c r="G183" s="13">
        <f>$C$134*$F$151*K105/0.6</f>
        <v>219.01310462230902</v>
      </c>
      <c r="H183" s="8">
        <f>-$C$134*$E$156*L78</f>
        <v>-2607.146569583382</v>
      </c>
      <c r="I183" s="13">
        <f>$C$134*$F$156*K105/0.6</f>
        <v>-40.15870841830867</v>
      </c>
      <c r="J183" s="8">
        <f>-$C$134*$E$161*L78</f>
        <v>1.364352269554525E-11</v>
      </c>
      <c r="K183" s="13">
        <f t="shared" si="36"/>
        <v>-324.69828647291854</v>
      </c>
    </row>
    <row r="184" spans="1:11" ht="12.75">
      <c r="A184" s="12">
        <f>B105</f>
        <v>30</v>
      </c>
      <c r="B184" s="16">
        <f>-$C$134*$E$141*L78</f>
        <v>19075.964681115332</v>
      </c>
      <c r="C184" s="13">
        <f>$C$134*$F$141*K105/0.3</f>
        <v>2807.0175438596375</v>
      </c>
      <c r="D184" s="16">
        <f>-$C$134*$E$146*L78</f>
        <v>4641.420258921624</v>
      </c>
      <c r="E184" s="13">
        <f>$C$134*$F$146*K105/0.3</f>
        <v>1233.0656351594557</v>
      </c>
      <c r="F184" s="16">
        <f>-$C$134*$E$151*L78</f>
        <v>-1329.112621907015</v>
      </c>
      <c r="G184" s="13">
        <f>$C$134*$F$151*K105/0.3</f>
        <v>438.02620924461803</v>
      </c>
      <c r="H184" s="16">
        <f>-$C$134*$E$156*L78</f>
        <v>-2607.146569583382</v>
      </c>
      <c r="I184" s="13">
        <f>$C$134*$F$156*K105/0.6</f>
        <v>-40.15870841830867</v>
      </c>
      <c r="J184" s="16">
        <f>-$C$134*$E$161*L78</f>
        <v>1.364352269554525E-11</v>
      </c>
      <c r="K184" s="13">
        <f>$C$134*$F$161*K105/0.6</f>
        <v>-324.69828647291854</v>
      </c>
    </row>
    <row r="185" spans="1:11" ht="12.75">
      <c r="A185">
        <f>B106</f>
        <v>32</v>
      </c>
      <c r="B185" s="8">
        <f>-$C$134*$E$141*L79</f>
        <v>-10597.758156175214</v>
      </c>
      <c r="C185" s="13">
        <f>$C$134*$F$141*K106/0.3</f>
        <v>2962.962962962951</v>
      </c>
      <c r="D185" s="8">
        <f>-$C$134*$E$146*L79</f>
        <v>-2578.56681051202</v>
      </c>
      <c r="E185" s="13">
        <f>$C$134*$F$146*K106/0.3</f>
        <v>1301.5692815572033</v>
      </c>
      <c r="F185" s="8">
        <f>-$C$134*$E$151*L79</f>
        <v>738.3959010594547</v>
      </c>
      <c r="G185" s="13">
        <f>$C$134*$F$151*K106/0.3</f>
        <v>462.36099864709684</v>
      </c>
      <c r="H185" s="8">
        <f>-$C$134*$E$156*L79</f>
        <v>1448.4147608796607</v>
      </c>
      <c r="I185" s="13">
        <f>$C$134*$F$156*K106/0.3</f>
        <v>-84.77949554976276</v>
      </c>
      <c r="J185" s="8">
        <f>-$C$134*$E$161*L79</f>
        <v>-7.579734830858493E-12</v>
      </c>
      <c r="K185" s="13">
        <f>$C$134*$F$161*K106/0.3</f>
        <v>-685.4741603317169</v>
      </c>
    </row>
    <row r="186" spans="1:11" ht="12.75">
      <c r="A186">
        <f>B107</f>
        <v>34</v>
      </c>
      <c r="B186" s="8">
        <f>-$C$134*$E$141*L80</f>
        <v>-40271.48099346577</v>
      </c>
      <c r="C186" s="13">
        <f>$C$134*$F$141*K107/0.3</f>
        <v>2027.290448343068</v>
      </c>
      <c r="D186" s="8">
        <f>-$C$134*$E$146*L80</f>
        <v>-9798.553879945666</v>
      </c>
      <c r="E186" s="13">
        <f>$C$134*$F$146*K107/0.3</f>
        <v>890.5474031707163</v>
      </c>
      <c r="F186" s="8">
        <f>-$C$134*$E$151*L80</f>
        <v>2805.904424025925</v>
      </c>
      <c r="G186" s="13">
        <f>$C$134*$F$151*K107/0.3</f>
        <v>316.3522622322235</v>
      </c>
      <c r="H186" s="8">
        <f>-$C$134*$E$156*L80</f>
        <v>5503.976091342704</v>
      </c>
      <c r="I186" s="13">
        <f>$C$134*$F$156*K107/0.3</f>
        <v>-58.007023270890194</v>
      </c>
      <c r="J186" s="8">
        <f>-$C$134*$E$161*L80</f>
        <v>-2.8802992357262242E-11</v>
      </c>
      <c r="K186" s="13">
        <f>$C$134*$F$161*K107/0.3</f>
        <v>-469.0086360164369</v>
      </c>
    </row>
    <row r="187" spans="1:11" ht="12.75">
      <c r="A187">
        <f>B108</f>
        <v>36</v>
      </c>
      <c r="B187" s="9">
        <f>-$C$134*$E$141*L81</f>
        <v>-69945.20383075632</v>
      </c>
      <c r="C187" s="13">
        <f>$C$134*$F$141*K108/0.3</f>
        <v>-1.265803335851597E-11</v>
      </c>
      <c r="D187" s="9">
        <f>-$C$134*$E$146*L81</f>
        <v>-17018.540949379312</v>
      </c>
      <c r="E187" s="13">
        <f>$C$134*$F$146*K108/0.3</f>
        <v>-5.5604162422251486E-12</v>
      </c>
      <c r="F187" s="9">
        <f>-$C$134*$E$151*L81</f>
        <v>4873.4129469923955</v>
      </c>
      <c r="G187" s="13">
        <f>$C$134*$F$151*K108/0.3</f>
        <v>-1.9752460687862094E-12</v>
      </c>
      <c r="H187" s="9">
        <f>-$C$134*$E$156*L81</f>
        <v>9559.537421805748</v>
      </c>
      <c r="I187" s="13">
        <f>$C$134*$F$156*K108/0.3</f>
        <v>3.621853179406319E-13</v>
      </c>
      <c r="J187" s="9">
        <f>-$C$134*$E$161*L81</f>
        <v>-5.002624988366599E-11</v>
      </c>
      <c r="K187" s="13">
        <f>$C$134*$F$161*K108/0.3</f>
        <v>2.928404740909376E-12</v>
      </c>
    </row>
  </sheetData>
  <printOptions/>
  <pageMargins left="0.75" right="0.75" top="1" bottom="1" header="0.5" footer="0.5"/>
  <pageSetup horizontalDpi="600" verticalDpi="600" orientation="landscape" paperSize="9" scale="50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Pickax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Frobnitz</dc:creator>
  <cp:keywords/>
  <dc:description/>
  <cp:lastModifiedBy>dave burke</cp:lastModifiedBy>
  <cp:lastPrinted>2003-04-03T21:45:40Z</cp:lastPrinted>
  <dcterms:created xsi:type="dcterms:W3CDTF">2003-03-06T01:38:52Z</dcterms:created>
  <dcterms:modified xsi:type="dcterms:W3CDTF">2003-04-07T19:16:15Z</dcterms:modified>
  <cp:category/>
  <cp:version/>
  <cp:contentType/>
  <cp:contentStatus/>
</cp:coreProperties>
</file>