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21315" windowHeight="15300" firstSheet="4" activeTab="10"/>
  </bookViews>
  <sheets>
    <sheet name="summary" sheetId="1" r:id="rId1"/>
    <sheet name="weight" sheetId="2" r:id="rId2"/>
    <sheet name="bonjeans data" sheetId="3" r:id="rId3"/>
    <sheet name="bonjeans curves" sheetId="4" r:id="rId4"/>
    <sheet name="bonjeans vs length" sheetId="5" r:id="rId5"/>
    <sheet name="wave data" sheetId="6" r:id="rId6"/>
    <sheet name="balance page" sheetId="7" r:id="rId7"/>
    <sheet name="balance plot" sheetId="8" r:id="rId8"/>
    <sheet name="hogging long str" sheetId="9" r:id="rId9"/>
    <sheet name="sagging long str" sheetId="10" r:id="rId10"/>
    <sheet name="still water long str" sheetId="11" r:id="rId11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6.xml><?xml version="1.0" encoding="utf-8"?>
<comments xmlns="http://schemas.openxmlformats.org/spreadsheetml/2006/main">
  <authors>
    <author>DBurke</author>
  </authors>
  <commentLis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T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</commentList>
</comments>
</file>

<file path=xl/comments7.xml><?xml version="1.0" encoding="utf-8"?>
<comments xmlns="http://schemas.openxmlformats.org/spreadsheetml/2006/main">
  <authors>
    <author>DBurke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</commentList>
</comments>
</file>

<file path=xl/sharedStrings.xml><?xml version="1.0" encoding="utf-8"?>
<sst xmlns="http://schemas.openxmlformats.org/spreadsheetml/2006/main" count="343" uniqueCount="202">
  <si>
    <t>LBP =</t>
  </si>
  <si>
    <t>feet</t>
  </si>
  <si>
    <t>number of stations</t>
  </si>
  <si>
    <t>section spacing</t>
  </si>
  <si>
    <t>displacement</t>
  </si>
  <si>
    <t>tons</t>
  </si>
  <si>
    <t>lcg</t>
  </si>
  <si>
    <t>feet + fwd of midships</t>
  </si>
  <si>
    <t>lcg_FP</t>
  </si>
  <si>
    <t>feet relative to FP</t>
  </si>
  <si>
    <t xml:space="preserve">maximum bending moment calc </t>
  </si>
  <si>
    <t>ft-tons</t>
  </si>
  <si>
    <t>sagging</t>
  </si>
  <si>
    <t>ft tons</t>
  </si>
  <si>
    <t>hogging</t>
  </si>
  <si>
    <t>still water</t>
  </si>
  <si>
    <t>wave height =</t>
  </si>
  <si>
    <t>ft</t>
  </si>
  <si>
    <t>input:</t>
  </si>
  <si>
    <t>buoyancy</t>
  </si>
  <si>
    <t>weight between stations</t>
  </si>
  <si>
    <t>LCG of weight</t>
  </si>
  <si>
    <t>moment relative to midships</t>
  </si>
  <si>
    <t>stations</t>
  </si>
  <si>
    <t>weight</t>
  </si>
  <si>
    <t>from midships</t>
  </si>
  <si>
    <t>(ft tons +fwd)</t>
  </si>
  <si>
    <t>from FP</t>
  </si>
  <si>
    <t>(tons)</t>
  </si>
  <si>
    <t xml:space="preserve">  (ft,+fwd)</t>
  </si>
  <si>
    <t xml:space="preserve">  (ft)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</si>
  <si>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</si>
  <si>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</si>
  <si>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</si>
  <si>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</si>
  <si>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</si>
  <si>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</si>
  <si>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</si>
  <si>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</si>
  <si>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</si>
  <si>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</si>
  <si>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</si>
  <si>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</si>
  <si>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</si>
  <si>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</si>
  <si>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</si>
  <si>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</si>
  <si>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</si>
  <si>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</si>
  <si>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</si>
  <si>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</si>
  <si>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total moment rel to midships</t>
  </si>
  <si>
    <t>weight was adjusted after</t>
  </si>
  <si>
    <t>maestro run</t>
  </si>
  <si>
    <t>relative to midships,   (ft,+fwd)</t>
  </si>
  <si>
    <t>relative to FP</t>
  </si>
  <si>
    <t>scale factor</t>
  </si>
  <si>
    <t>ft^2/in total section (both sides)</t>
  </si>
  <si>
    <t>Basic bonjean's curve data. Waterline and section area to that waterline at each station</t>
  </si>
  <si>
    <t>this version starts with basic data and modifies that data for standard bonjean's plots.</t>
  </si>
  <si>
    <t xml:space="preserve">data is in inches. Use scale factor to convert to section area in ft^2 </t>
  </si>
  <si>
    <t>FP</t>
  </si>
  <si>
    <t>midship</t>
  </si>
  <si>
    <t>AP</t>
  </si>
  <si>
    <t>wl/sta</t>
  </si>
  <si>
    <t>enter</t>
  </si>
  <si>
    <t>data</t>
  </si>
  <si>
    <t>here</t>
  </si>
  <si>
    <t>this data is for plot; station 10 is duplicated and aft sections are listed as negative</t>
  </si>
  <si>
    <t>this data is for plot of section area at each section.</t>
  </si>
  <si>
    <t>delta =</t>
  </si>
  <si>
    <t>note: these are reversed in sign to plot in reverse on bonjeans vs length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</si>
  <si>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</si>
  <si>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</si>
  <si>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</si>
  <si>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</si>
  <si>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</si>
  <si>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</si>
  <si>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</si>
  <si>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</si>
  <si>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</si>
  <si>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</si>
  <si>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</si>
  <si>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</si>
  <si>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</si>
  <si>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</si>
  <si>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</si>
  <si>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</si>
  <si>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</si>
  <si>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</si>
  <si>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</si>
  <si>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</si>
  <si>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</si>
  <si>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</si>
  <si>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upperline</t>
  </si>
  <si>
    <t>lower sa</t>
  </si>
  <si>
    <t>upper sa</t>
  </si>
  <si>
    <t>interpolated sa</t>
  </si>
  <si>
    <t>mean draft 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</si>
  <si>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</si>
  <si>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</si>
  <si>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</si>
  <si>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</si>
  <si>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</si>
  <si>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</si>
  <si>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</si>
  <si>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</si>
  <si>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</si>
  <si>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</si>
  <si>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</si>
  <si>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</si>
  <si>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</si>
  <si>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</si>
  <si>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</si>
  <si>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</si>
  <si>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</si>
  <si>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</si>
  <si>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</si>
  <si>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</si>
  <si>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</si>
  <si>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</si>
  <si>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</si>
  <si>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</si>
  <si>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</si>
  <si>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</si>
  <si>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hw = 1.1*sqrt(LBP)</t>
  </si>
  <si>
    <t>x sta hog</t>
  </si>
  <si>
    <t>interpolated area hogging</t>
  </si>
  <si>
    <t>hogging:</t>
  </si>
  <si>
    <t>sagging:</t>
  </si>
  <si>
    <t>interpolated area sagging</t>
  </si>
  <si>
    <t>x sta sag</t>
  </si>
  <si>
    <t>x sta still</t>
  </si>
  <si>
    <t>stillwater:</t>
  </si>
  <si>
    <t>in tons sea water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</si>
  <si>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</si>
  <si>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</si>
  <si>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</si>
  <si>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</si>
  <si>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</si>
  <si>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</si>
  <si>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</si>
  <si>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section area</t>
  </si>
  <si>
    <t>tons buoyancy at mid station</t>
  </si>
  <si>
    <t>for selected mean draft and trim angle (+ by the bow)</t>
  </si>
  <si>
    <t>location</t>
  </si>
  <si>
    <t>ft from fp</t>
  </si>
  <si>
    <t>x weight</t>
  </si>
  <si>
    <t>very sensitive to balance</t>
  </si>
  <si>
    <t>shear (hogging)</t>
  </si>
  <si>
    <t>shear (sagging)</t>
  </si>
  <si>
    <t>bending moment (hogging)</t>
  </si>
  <si>
    <t>still water:</t>
  </si>
  <si>
    <t>shear (still water)</t>
  </si>
  <si>
    <t>bending moment (still water)</t>
  </si>
  <si>
    <t>bending moment (sagging)</t>
  </si>
  <si>
    <t xml:space="preserve">buoyancy </t>
  </si>
  <si>
    <t>station</t>
  </si>
  <si>
    <t>at x weight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</si>
  <si>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</si>
  <si>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</si>
  <si>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</si>
  <si>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</si>
  <si>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</si>
  <si>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</si>
  <si>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</si>
  <si>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</si>
  <si>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</si>
  <si>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</si>
  <si>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</si>
  <si>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</si>
  <si>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</si>
  <si>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</si>
  <si>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</si>
  <si>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</si>
  <si>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</si>
  <si>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</si>
  <si>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</si>
  <si>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</si>
  <si>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</si>
  <si>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</si>
  <si>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</si>
  <si>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</si>
  <si>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weight. only for sagging ?? Better than it was see chart sag_buoy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</si>
  <si>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</si>
  <si>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</si>
  <si>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</si>
  <si>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</si>
  <si>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</si>
  <si>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</si>
  <si>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</si>
  <si>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</si>
  <si>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</si>
  <si>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min_draft</t>
  </si>
  <si>
    <t>max_draft</t>
  </si>
  <si>
    <t xml:space="preserve">revised to reflect min and max drafts </t>
  </si>
  <si>
    <t>lines 13-18, added if's etc.</t>
  </si>
  <si>
    <t>lines 32-37, added if's etc.</t>
  </si>
  <si>
    <t>positive</t>
  </si>
  <si>
    <t>negative</t>
  </si>
  <si>
    <t xml:space="preserve">your algorithm </t>
  </si>
  <si>
    <t>goes in here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</si>
</sst>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9"/>
      <name val="Geneva"/>
      <family val="0"/>
    </font>
    <font>
      <sz val="5"/>
      <name val="Geneva"/>
      <family val="0"/>
    </font>
    <font>
      <sz val="8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0" xfId="19" applyNumberFormat="1" applyAlignment="1">
      <alignment/>
    </xf>
    <xf numFmtId="0" fontId="0" fillId="0" borderId="11" xfId="0" applyBorder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0609859"/>
        <c:axId val="28379868"/>
      </c:scatterChart>
      <c:val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crossBetween val="midCat"/>
        <c:dispUnits/>
      </c:valAx>
      <c:valAx>
        <c:axId val="28379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67096077"/>
        <c:axId val="66993782"/>
      </c:scatterChart>
      <c:valAx>
        <c:axId val="6709607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crossBetween val="midCat"/>
        <c:dispUnits/>
      </c:valAx>
      <c:valAx>
        <c:axId val="66993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4092221"/>
        <c:axId val="17067942"/>
      </c:scatterChart>
      <c:valAx>
        <c:axId val="54092221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</c:valAx>
      <c:valAx>
        <c:axId val="1706794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19393751"/>
        <c:axId val="40326032"/>
      </c:scatterChart>
      <c:valAx>
        <c:axId val="1939375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crossBetween val="midCat"/>
        <c:dispUnits/>
      </c:valAx>
      <c:valAx>
        <c:axId val="40326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26.87</c:v>
                </c:pt>
                <c:pt idx="1">
                  <c:v>26.87</c:v>
                </c:pt>
                <c:pt idx="2">
                  <c:v>26.87</c:v>
                </c:pt>
                <c:pt idx="3">
                  <c:v>26.87</c:v>
                </c:pt>
                <c:pt idx="4">
                  <c:v>26.87</c:v>
                </c:pt>
                <c:pt idx="5">
                  <c:v>26.87</c:v>
                </c:pt>
                <c:pt idx="6">
                  <c:v>26.87</c:v>
                </c:pt>
                <c:pt idx="7">
                  <c:v>26.87</c:v>
                </c:pt>
                <c:pt idx="8">
                  <c:v>26.87</c:v>
                </c:pt>
                <c:pt idx="9">
                  <c:v>26.87</c:v>
                </c:pt>
                <c:pt idx="10">
                  <c:v>26.87</c:v>
                </c:pt>
                <c:pt idx="11">
                  <c:v>26.87</c:v>
                </c:pt>
                <c:pt idx="12">
                  <c:v>26.87</c:v>
                </c:pt>
                <c:pt idx="13">
                  <c:v>26.87</c:v>
                </c:pt>
                <c:pt idx="14">
                  <c:v>26.87</c:v>
                </c:pt>
                <c:pt idx="15">
                  <c:v>26.87</c:v>
                </c:pt>
                <c:pt idx="16">
                  <c:v>26.87</c:v>
                </c:pt>
                <c:pt idx="17">
                  <c:v>26.87</c:v>
                </c:pt>
                <c:pt idx="18">
                  <c:v>26.87</c:v>
                </c:pt>
                <c:pt idx="19">
                  <c:v>26.87</c:v>
                </c:pt>
                <c:pt idx="20">
                  <c:v>26.87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26.875</c:v>
                </c:pt>
                <c:pt idx="1">
                  <c:v>26.875</c:v>
                </c:pt>
                <c:pt idx="2">
                  <c:v>26.875</c:v>
                </c:pt>
                <c:pt idx="3">
                  <c:v>26.875</c:v>
                </c:pt>
                <c:pt idx="4">
                  <c:v>26.875</c:v>
                </c:pt>
                <c:pt idx="5">
                  <c:v>26.875</c:v>
                </c:pt>
                <c:pt idx="6">
                  <c:v>26.875</c:v>
                </c:pt>
                <c:pt idx="7">
                  <c:v>26.875</c:v>
                </c:pt>
                <c:pt idx="8">
                  <c:v>26.875</c:v>
                </c:pt>
                <c:pt idx="9">
                  <c:v>26.875</c:v>
                </c:pt>
                <c:pt idx="10">
                  <c:v>26.875</c:v>
                </c:pt>
                <c:pt idx="11">
                  <c:v>26.875</c:v>
                </c:pt>
                <c:pt idx="12">
                  <c:v>26.875</c:v>
                </c:pt>
                <c:pt idx="13">
                  <c:v>26.875</c:v>
                </c:pt>
                <c:pt idx="14">
                  <c:v>26.875</c:v>
                </c:pt>
                <c:pt idx="15">
                  <c:v>26.875</c:v>
                </c:pt>
                <c:pt idx="16">
                  <c:v>26.875</c:v>
                </c:pt>
                <c:pt idx="17">
                  <c:v>26.875</c:v>
                </c:pt>
                <c:pt idx="18">
                  <c:v>26.875</c:v>
                </c:pt>
                <c:pt idx="19">
                  <c:v>26.875</c:v>
                </c:pt>
                <c:pt idx="20">
                  <c:v>26.875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24.983</c:v>
                </c:pt>
                <c:pt idx="1">
                  <c:v>24.983</c:v>
                </c:pt>
                <c:pt idx="2">
                  <c:v>24.983</c:v>
                </c:pt>
                <c:pt idx="3">
                  <c:v>24.983</c:v>
                </c:pt>
                <c:pt idx="4">
                  <c:v>24.983</c:v>
                </c:pt>
                <c:pt idx="5">
                  <c:v>24.983</c:v>
                </c:pt>
                <c:pt idx="6">
                  <c:v>24.983</c:v>
                </c:pt>
                <c:pt idx="7">
                  <c:v>24.983</c:v>
                </c:pt>
                <c:pt idx="8">
                  <c:v>24.983</c:v>
                </c:pt>
                <c:pt idx="9">
                  <c:v>24.983</c:v>
                </c:pt>
                <c:pt idx="10">
                  <c:v>24.983</c:v>
                </c:pt>
                <c:pt idx="11">
                  <c:v>24.983</c:v>
                </c:pt>
                <c:pt idx="12">
                  <c:v>24.983</c:v>
                </c:pt>
                <c:pt idx="13">
                  <c:v>24.983</c:v>
                </c:pt>
                <c:pt idx="14">
                  <c:v>24.983</c:v>
                </c:pt>
                <c:pt idx="15">
                  <c:v>24.983</c:v>
                </c:pt>
                <c:pt idx="16">
                  <c:v>24.983</c:v>
                </c:pt>
                <c:pt idx="17">
                  <c:v>24.983</c:v>
                </c:pt>
                <c:pt idx="18">
                  <c:v>24.983</c:v>
                </c:pt>
                <c:pt idx="19">
                  <c:v>24.983</c:v>
                </c:pt>
                <c:pt idx="20">
                  <c:v>24.983</c:v>
                </c:pt>
              </c:numCache>
            </c:numRef>
          </c:yVal>
          <c:smooth val="1"/>
        </c:ser>
        <c:axId val="27389969"/>
        <c:axId val="45183130"/>
      </c:scatterChart>
      <c:valAx>
        <c:axId val="27389969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crossBetween val="midCat"/>
        <c:dispUnits/>
      </c:valAx>
      <c:valAx>
        <c:axId val="451831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3994987"/>
        <c:axId val="35954884"/>
      </c:scatterChart>
      <c:val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</c:valAx>
      <c:valAx>
        <c:axId val="3595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axId val="55158501"/>
        <c:axId val="26664462"/>
      </c:scatterChart>
      <c:valAx>
        <c:axId val="55158501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</c:valAx>
      <c:valAx>
        <c:axId val="2666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str'!$F$6:$F$26</c:f>
              <c:numCache/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  <c:majorUnit val="10"/>
        <c:minorUnit val="2"/>
      </c:valAx>
      <c:valAx>
        <c:axId val="12337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53567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str'!$G$6:$G$26</c:f>
              <c:numCache/>
            </c:numRef>
          </c:yVal>
          <c:smooth val="0"/>
        </c:ser>
        <c:axId val="43931193"/>
        <c:axId val="59836418"/>
      </c:scatterChart>
      <c:val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</c:valAx>
      <c:valAx>
        <c:axId val="598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1656851"/>
        <c:axId val="14911660"/>
      </c:scatterChart>
      <c:val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crossBetween val="midCat"/>
        <c:dispUnits/>
      </c:valAx>
      <c:valAx>
        <c:axId val="1491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1529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0.9115</cdr:y>
    </cdr:from>
    <cdr:to>
      <cdr:x>0.90175</cdr:x>
      <cdr:y>0.949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400675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43865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39102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3624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3719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362450" y="114300"/>
        <a:ext cx="3600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4343400" y="2457450"/>
        <a:ext cx="3619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workbookViewId="0" topLeftCell="A1">
      <selection activeCell="G4" sqref="G4"/>
    </sheetView>
  </sheetViews>
  <sheetFormatPr defaultColWidth="9.140625" defaultRowHeight="12.75"/>
  <sheetData>
    <row r="2" spans="3:5" ht="12.75">
      <c r="C2" s="1" t="s">
        <v>0</v>
      </c>
      <c r="D2" s="1"/>
      <c r="E2" t="s">
        <v>1</v>
      </c>
    </row>
    <row r="3" spans="3:4" ht="12.75">
      <c r="C3" s="1" t="s">
        <v>2</v>
      </c>
      <c r="D3" s="1">
        <v>21</v>
      </c>
    </row>
    <row r="4" spans="3:5" ht="12.75">
      <c r="C4" t="s">
        <v>3</v>
      </c>
      <c r="D4">
        <f>LBP/(number_of_stations-1)</f>
        <v>0</v>
      </c>
      <c r="E4" t="s">
        <v>1</v>
      </c>
    </row>
    <row r="6" spans="3:5" ht="12.75">
      <c r="C6" t="s">
        <v>4</v>
      </c>
      <c r="D6" s="1">
        <f>displacement</f>
        <v>0</v>
      </c>
      <c r="E6" t="s">
        <v>5</v>
      </c>
    </row>
    <row r="7" spans="3:5" ht="12.75">
      <c r="C7" t="s">
        <v>6</v>
      </c>
      <c r="D7" t="e">
        <f>lcg</f>
        <v>#DIV/0!</v>
      </c>
      <c r="E7" t="s">
        <v>7</v>
      </c>
    </row>
    <row r="8" spans="3:5" ht="12.75">
      <c r="C8" t="s">
        <v>8</v>
      </c>
      <c r="D8" t="e">
        <f>LBP/2-lcg</f>
        <v>#DIV/0!</v>
      </c>
      <c r="E8" t="s">
        <v>9</v>
      </c>
    </row>
    <row r="14" ht="12.75">
      <c r="C14" t="s">
        <v>10</v>
      </c>
    </row>
    <row r="15" ht="12.75">
      <c r="D15" t="s">
        <v>11</v>
      </c>
    </row>
    <row r="16" spans="4:5" ht="12.75">
      <c r="D16" t="s">
        <v>198</v>
      </c>
      <c r="E16" t="s">
        <v>199</v>
      </c>
    </row>
    <row r="17" spans="3:6" ht="12.75">
      <c r="C17" t="s">
        <v>12</v>
      </c>
      <c r="D17" s="2">
        <f>MAX('sagging long str'!G6:G28)</f>
        <v>0</v>
      </c>
      <c r="E17" s="2">
        <f>MIN('sagging long str'!G6:G28)</f>
        <v>0</v>
      </c>
      <c r="F17" t="s">
        <v>13</v>
      </c>
    </row>
    <row r="18" spans="3:6" ht="12.75">
      <c r="C18" t="s">
        <v>14</v>
      </c>
      <c r="D18" s="2">
        <f>MAX('hogging long str'!G7:G29)</f>
        <v>0</v>
      </c>
      <c r="E18" s="2">
        <f>MIN('hogging long str'!G7:G29)</f>
        <v>0</v>
      </c>
      <c r="F18" t="s">
        <v>13</v>
      </c>
    </row>
    <row r="19" spans="3:6" ht="12.75">
      <c r="C19" t="s">
        <v>15</v>
      </c>
      <c r="D19" s="2">
        <f>MAX('still water long str'!G6:G28)</f>
        <v>0</v>
      </c>
      <c r="E19" s="2">
        <f>MIN('still water long str'!G6:G28)</f>
        <v>0</v>
      </c>
      <c r="F19" t="s">
        <v>13</v>
      </c>
    </row>
    <row r="21" spans="3:5" ht="12.75">
      <c r="C21" t="s">
        <v>16</v>
      </c>
      <c r="D21" s="3">
        <f>htwave</f>
        <v>0</v>
      </c>
      <c r="E21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D7" sqref="D7:E26"/>
    </sheetView>
  </sheetViews>
  <sheetFormatPr defaultColWidth="9.140625" defaultRowHeight="12.75"/>
  <sheetData>
    <row r="2" spans="3:4" ht="12.75">
      <c r="C2" s="4"/>
      <c r="D2" s="4" t="s">
        <v>18</v>
      </c>
    </row>
    <row r="3" spans="2:7" ht="12.75">
      <c r="B3" t="s">
        <v>19</v>
      </c>
      <c r="C3" t="s">
        <v>20</v>
      </c>
      <c r="E3" t="s">
        <v>21</v>
      </c>
      <c r="F3" t="s">
        <v>22</v>
      </c>
      <c r="G3" t="s">
        <v>21</v>
      </c>
    </row>
    <row r="4" spans="3:19" ht="12.75">
      <c r="C4" t="s">
        <v>23</v>
      </c>
      <c r="D4" t="s">
        <v>24</v>
      </c>
      <c r="E4" t="s">
        <v>25</v>
      </c>
      <c r="F4" t="s">
        <v>26</v>
      </c>
      <c r="G4" t="s">
        <v>27</v>
      </c>
      <c r="K4" s="5"/>
      <c r="L4" s="5"/>
      <c r="M4" s="5"/>
      <c r="N4" s="5"/>
      <c r="O4" s="5"/>
      <c r="P4" s="5"/>
      <c r="Q4" s="5"/>
      <c r="R4" s="5"/>
      <c r="S4" s="5"/>
    </row>
    <row r="5" spans="2:19" ht="12.75">
      <c r="B5" t="s">
        <v>23</v>
      </c>
      <c r="D5" t="s">
        <v>28</v>
      </c>
      <c r="E5" t="s">
        <v>29</v>
      </c>
      <c r="G5" t="s">
        <v>30</v>
      </c>
      <c r="K5" s="5"/>
      <c r="L5" s="5"/>
      <c r="M5" s="5"/>
      <c r="N5" s="5"/>
      <c r="O5" s="5"/>
      <c r="P5" s="5"/>
      <c r="Q5" s="5"/>
      <c r="R5" s="5"/>
      <c r="S5" s="5"/>
    </row>
    <row r="6" spans="2:19" ht="12.75">
      <c r="B6">
        <v>0</v>
      </c>
      <c r="D6" s="5">
        <v>0</v>
      </c>
      <c r="E6" s="5"/>
      <c r="I6" s="29"/>
      <c r="J6" s="29"/>
      <c r="K6" s="5"/>
      <c r="L6" s="5"/>
      <c r="M6" s="27"/>
      <c r="N6" s="5"/>
      <c r="O6" s="5"/>
      <c r="P6" s="5"/>
      <c r="Q6" s="5"/>
      <c r="R6" s="5"/>
      <c r="S6" s="5"/>
    </row>
    <row r="7" spans="2:19" ht="12.75">
      <c r="B7">
        <v>1</v>
      </c>
      <c r="C7" s="6" t="s">
        <v>31</v>
      </c>
      <c r="D7" s="7"/>
      <c r="E7" s="8"/>
      <c r="F7" s="9">
        <f aca="true" t="shared" si="0" ref="F7:F26">D7*E7</f>
        <v>0</v>
      </c>
      <c r="G7">
        <f>LBP/2-E7</f>
        <v>0</v>
      </c>
      <c r="I7" s="6"/>
      <c r="J7" s="6"/>
      <c r="K7" s="6"/>
      <c r="L7" s="5"/>
      <c r="M7" s="5"/>
      <c r="N7" s="34"/>
      <c r="O7" s="5"/>
      <c r="P7" s="6"/>
      <c r="Q7" s="5"/>
      <c r="R7" s="5"/>
      <c r="S7" s="34"/>
    </row>
    <row r="8" spans="2:19" ht="12.75">
      <c r="B8">
        <v>2</v>
      </c>
      <c r="C8" s="6" t="s">
        <v>32</v>
      </c>
      <c r="D8" s="7"/>
      <c r="E8" s="8"/>
      <c r="F8" s="9">
        <f t="shared" si="0"/>
        <v>0</v>
      </c>
      <c r="G8">
        <f aca="true" t="shared" si="1" ref="G8:G26">LBP/2-E8</f>
        <v>0</v>
      </c>
      <c r="I8" s="6"/>
      <c r="J8" s="6"/>
      <c r="K8" s="6"/>
      <c r="L8" s="5"/>
      <c r="M8" s="5"/>
      <c r="N8" s="34"/>
      <c r="O8" s="5"/>
      <c r="P8" s="6"/>
      <c r="Q8" s="5"/>
      <c r="R8" s="5"/>
      <c r="S8" s="34"/>
    </row>
    <row r="9" spans="2:19" ht="12.75">
      <c r="B9">
        <v>3</v>
      </c>
      <c r="C9" s="6" t="s">
        <v>33</v>
      </c>
      <c r="D9" s="7"/>
      <c r="E9" s="8"/>
      <c r="F9" s="9">
        <f t="shared" si="0"/>
        <v>0</v>
      </c>
      <c r="G9">
        <f t="shared" si="1"/>
        <v>0</v>
      </c>
      <c r="I9" s="6"/>
      <c r="J9" s="6"/>
      <c r="K9" s="6"/>
      <c r="L9" s="5"/>
      <c r="M9" s="5"/>
      <c r="N9" s="34"/>
      <c r="O9" s="5"/>
      <c r="P9" s="6"/>
      <c r="Q9" s="5"/>
      <c r="R9" s="5"/>
      <c r="S9" s="34"/>
    </row>
    <row r="10" spans="2:19" ht="12.75">
      <c r="B10">
        <v>4</v>
      </c>
      <c r="C10" s="6" t="s">
        <v>34</v>
      </c>
      <c r="D10" s="7"/>
      <c r="E10" s="8"/>
      <c r="F10" s="9">
        <f t="shared" si="0"/>
        <v>0</v>
      </c>
      <c r="G10">
        <f t="shared" si="1"/>
        <v>0</v>
      </c>
      <c r="I10" s="6"/>
      <c r="J10" s="6"/>
      <c r="K10" s="6"/>
      <c r="L10" s="5"/>
      <c r="M10" s="5"/>
      <c r="N10" s="34"/>
      <c r="O10" s="5"/>
      <c r="P10" s="6"/>
      <c r="Q10" s="5"/>
      <c r="R10" s="5"/>
      <c r="S10" s="34"/>
    </row>
    <row r="11" spans="2:19" ht="12.75">
      <c r="B11">
        <v>5</v>
      </c>
      <c r="C11" s="6" t="s">
        <v>35</v>
      </c>
      <c r="D11" s="7"/>
      <c r="E11" s="8"/>
      <c r="F11" s="9">
        <f t="shared" si="0"/>
        <v>0</v>
      </c>
      <c r="G11">
        <f t="shared" si="1"/>
        <v>0</v>
      </c>
      <c r="I11" s="6"/>
      <c r="J11" s="6"/>
      <c r="K11" s="6"/>
      <c r="L11" s="5"/>
      <c r="M11" s="5"/>
      <c r="N11" s="34"/>
      <c r="O11" s="5"/>
      <c r="P11" s="6"/>
      <c r="Q11" s="5"/>
      <c r="R11" s="5"/>
      <c r="S11" s="34"/>
    </row>
    <row r="12" spans="2:19" ht="12.75">
      <c r="B12">
        <v>6</v>
      </c>
      <c r="C12" s="6" t="s">
        <v>36</v>
      </c>
      <c r="D12" s="7"/>
      <c r="E12" s="8"/>
      <c r="F12" s="9">
        <f t="shared" si="0"/>
        <v>0</v>
      </c>
      <c r="G12">
        <f t="shared" si="1"/>
        <v>0</v>
      </c>
      <c r="I12" s="6"/>
      <c r="J12" s="6"/>
      <c r="K12" s="6"/>
      <c r="L12" s="5"/>
      <c r="M12" s="5"/>
      <c r="N12" s="34"/>
      <c r="O12" s="5"/>
      <c r="P12" s="6"/>
      <c r="Q12" s="5"/>
      <c r="R12" s="5"/>
      <c r="S12" s="34"/>
    </row>
    <row r="13" spans="2:19" ht="12.75">
      <c r="B13">
        <v>7</v>
      </c>
      <c r="C13" s="6" t="s">
        <v>37</v>
      </c>
      <c r="D13" s="7"/>
      <c r="E13" s="8"/>
      <c r="F13" s="9">
        <f t="shared" si="0"/>
        <v>0</v>
      </c>
      <c r="G13">
        <f t="shared" si="1"/>
        <v>0</v>
      </c>
      <c r="I13" s="6"/>
      <c r="J13" s="6"/>
      <c r="K13" s="6"/>
      <c r="L13" s="5"/>
      <c r="M13" s="5"/>
      <c r="N13" s="34"/>
      <c r="O13" s="5"/>
      <c r="P13" s="6"/>
      <c r="Q13" s="5"/>
      <c r="R13" s="5"/>
      <c r="S13" s="34"/>
    </row>
    <row r="14" spans="2:19" ht="12.75">
      <c r="B14">
        <v>8</v>
      </c>
      <c r="C14" s="6" t="s">
        <v>38</v>
      </c>
      <c r="D14" s="7"/>
      <c r="E14" s="8"/>
      <c r="F14" s="9">
        <f t="shared" si="0"/>
        <v>0</v>
      </c>
      <c r="G14">
        <f t="shared" si="1"/>
        <v>0</v>
      </c>
      <c r="I14" s="6"/>
      <c r="J14" s="6"/>
      <c r="K14" s="6"/>
      <c r="L14" s="5"/>
      <c r="M14" s="5"/>
      <c r="N14" s="34"/>
      <c r="O14" s="5"/>
      <c r="P14" s="6"/>
      <c r="Q14" s="5"/>
      <c r="R14" s="5"/>
      <c r="S14" s="34"/>
    </row>
    <row r="15" spans="2:19" ht="12.75">
      <c r="B15">
        <v>9</v>
      </c>
      <c r="C15" s="6" t="s">
        <v>39</v>
      </c>
      <c r="D15" s="7"/>
      <c r="E15" s="8"/>
      <c r="F15" s="9">
        <f t="shared" si="0"/>
        <v>0</v>
      </c>
      <c r="G15">
        <f t="shared" si="1"/>
        <v>0</v>
      </c>
      <c r="I15" s="6"/>
      <c r="J15" s="6"/>
      <c r="K15" s="6"/>
      <c r="L15" s="5"/>
      <c r="M15" s="5"/>
      <c r="N15" s="34"/>
      <c r="O15" s="5"/>
      <c r="P15" s="6"/>
      <c r="Q15" s="5"/>
      <c r="R15" s="5"/>
      <c r="S15" s="34"/>
    </row>
    <row r="16" spans="2:19" ht="12.75">
      <c r="B16">
        <v>10</v>
      </c>
      <c r="C16" s="6" t="s">
        <v>40</v>
      </c>
      <c r="D16" s="7"/>
      <c r="E16" s="8"/>
      <c r="F16" s="9">
        <f t="shared" si="0"/>
        <v>0</v>
      </c>
      <c r="G16">
        <f t="shared" si="1"/>
        <v>0</v>
      </c>
      <c r="I16" s="6"/>
      <c r="J16" s="6"/>
      <c r="K16" s="6"/>
      <c r="L16" s="5"/>
      <c r="M16" s="5"/>
      <c r="N16" s="34"/>
      <c r="O16" s="5"/>
      <c r="P16" s="6"/>
      <c r="Q16" s="5"/>
      <c r="R16" s="5"/>
      <c r="S16" s="34"/>
    </row>
    <row r="17" spans="2:19" ht="12.75">
      <c r="B17">
        <v>11</v>
      </c>
      <c r="C17" s="6" t="s">
        <v>41</v>
      </c>
      <c r="D17" s="7"/>
      <c r="E17" s="8"/>
      <c r="F17" s="9">
        <f t="shared" si="0"/>
        <v>0</v>
      </c>
      <c r="G17">
        <f t="shared" si="1"/>
        <v>0</v>
      </c>
      <c r="I17" s="6"/>
      <c r="J17" s="6"/>
      <c r="K17" s="6"/>
      <c r="L17" s="5"/>
      <c r="M17" s="5"/>
      <c r="N17" s="34"/>
      <c r="O17" s="5"/>
      <c r="P17" s="6"/>
      <c r="Q17" s="5"/>
      <c r="R17" s="5"/>
      <c r="S17" s="34"/>
    </row>
    <row r="18" spans="2:19" ht="12.75">
      <c r="B18">
        <v>12</v>
      </c>
      <c r="C18" s="6" t="s">
        <v>42</v>
      </c>
      <c r="D18" s="7"/>
      <c r="E18" s="8"/>
      <c r="F18" s="9">
        <f t="shared" si="0"/>
        <v>0</v>
      </c>
      <c r="G18">
        <f t="shared" si="1"/>
        <v>0</v>
      </c>
      <c r="I18" s="6"/>
      <c r="J18" s="6"/>
      <c r="K18" s="6"/>
      <c r="L18" s="5"/>
      <c r="M18" s="5"/>
      <c r="N18" s="34"/>
      <c r="O18" s="5"/>
      <c r="P18" s="6"/>
      <c r="Q18" s="5"/>
      <c r="R18" s="5"/>
      <c r="S18" s="34"/>
    </row>
    <row r="19" spans="2:19" ht="12.75">
      <c r="B19">
        <v>13</v>
      </c>
      <c r="C19" s="6" t="s">
        <v>43</v>
      </c>
      <c r="D19" s="7"/>
      <c r="E19" s="8"/>
      <c r="F19" s="9">
        <f t="shared" si="0"/>
        <v>0</v>
      </c>
      <c r="G19">
        <f t="shared" si="1"/>
        <v>0</v>
      </c>
      <c r="I19" s="6"/>
      <c r="J19" s="6"/>
      <c r="K19" s="6"/>
      <c r="L19" s="5"/>
      <c r="M19" s="5"/>
      <c r="N19" s="34"/>
      <c r="O19" s="5"/>
      <c r="P19" s="6"/>
      <c r="Q19" s="5"/>
      <c r="R19" s="5"/>
      <c r="S19" s="34"/>
    </row>
    <row r="20" spans="2:19" ht="12.75">
      <c r="B20">
        <v>14</v>
      </c>
      <c r="C20" s="6" t="s">
        <v>44</v>
      </c>
      <c r="D20" s="7"/>
      <c r="E20" s="8"/>
      <c r="F20" s="9">
        <f t="shared" si="0"/>
        <v>0</v>
      </c>
      <c r="G20">
        <f t="shared" si="1"/>
        <v>0</v>
      </c>
      <c r="I20" s="6"/>
      <c r="J20" s="6"/>
      <c r="K20" s="6"/>
      <c r="L20" s="5"/>
      <c r="M20" s="5"/>
      <c r="N20" s="34"/>
      <c r="O20" s="5"/>
      <c r="P20" s="6"/>
      <c r="Q20" s="5"/>
      <c r="R20" s="5"/>
      <c r="S20" s="34"/>
    </row>
    <row r="21" spans="2:19" ht="12.75">
      <c r="B21">
        <v>15</v>
      </c>
      <c r="C21" s="6" t="s">
        <v>45</v>
      </c>
      <c r="D21" s="7"/>
      <c r="E21" s="8"/>
      <c r="F21" s="9">
        <f t="shared" si="0"/>
        <v>0</v>
      </c>
      <c r="G21">
        <f t="shared" si="1"/>
        <v>0</v>
      </c>
      <c r="I21" s="6"/>
      <c r="J21" s="6"/>
      <c r="K21" s="6"/>
      <c r="L21" s="5"/>
      <c r="M21" s="5"/>
      <c r="N21" s="34"/>
      <c r="O21" s="5"/>
      <c r="P21" s="6"/>
      <c r="Q21" s="5"/>
      <c r="R21" s="5"/>
      <c r="S21" s="34"/>
    </row>
    <row r="22" spans="2:19" ht="12.75">
      <c r="B22">
        <v>16</v>
      </c>
      <c r="C22" s="6" t="s">
        <v>46</v>
      </c>
      <c r="D22" s="7"/>
      <c r="E22" s="8"/>
      <c r="F22" s="9">
        <f t="shared" si="0"/>
        <v>0</v>
      </c>
      <c r="G22">
        <f t="shared" si="1"/>
        <v>0</v>
      </c>
      <c r="I22" s="6"/>
      <c r="J22" s="6"/>
      <c r="K22" s="6"/>
      <c r="L22" s="5"/>
      <c r="M22" s="5"/>
      <c r="N22" s="34"/>
      <c r="O22" s="5"/>
      <c r="P22" s="6"/>
      <c r="Q22" s="5"/>
      <c r="R22" s="5"/>
      <c r="S22" s="34"/>
    </row>
    <row r="23" spans="2:19" ht="12.75">
      <c r="B23">
        <v>17</v>
      </c>
      <c r="C23" s="6" t="s">
        <v>47</v>
      </c>
      <c r="D23" s="7"/>
      <c r="E23" s="8"/>
      <c r="F23" s="9">
        <f t="shared" si="0"/>
        <v>0</v>
      </c>
      <c r="G23">
        <f t="shared" si="1"/>
        <v>0</v>
      </c>
      <c r="I23" s="6"/>
      <c r="J23" s="6"/>
      <c r="K23" s="6"/>
      <c r="L23" s="5"/>
      <c r="M23" s="5"/>
      <c r="N23" s="34"/>
      <c r="O23" s="5"/>
      <c r="P23" s="6"/>
      <c r="Q23" s="5"/>
      <c r="R23" s="5"/>
      <c r="S23" s="34"/>
    </row>
    <row r="24" spans="2:19" ht="12.75">
      <c r="B24">
        <v>18</v>
      </c>
      <c r="C24" s="6" t="s">
        <v>48</v>
      </c>
      <c r="D24" s="7"/>
      <c r="E24" s="8"/>
      <c r="F24" s="9">
        <f t="shared" si="0"/>
        <v>0</v>
      </c>
      <c r="G24">
        <f t="shared" si="1"/>
        <v>0</v>
      </c>
      <c r="I24" s="6"/>
      <c r="J24" s="6"/>
      <c r="K24" s="6"/>
      <c r="L24" s="5"/>
      <c r="M24" s="5"/>
      <c r="N24" s="34"/>
      <c r="O24" s="5"/>
      <c r="P24" s="6"/>
      <c r="Q24" s="5"/>
      <c r="R24" s="5"/>
      <c r="S24" s="34"/>
    </row>
    <row r="25" spans="2:19" ht="12.75">
      <c r="B25">
        <v>19</v>
      </c>
      <c r="C25" s="6" t="s">
        <v>49</v>
      </c>
      <c r="D25" s="7"/>
      <c r="E25" s="8"/>
      <c r="F25" s="9">
        <f t="shared" si="0"/>
        <v>0</v>
      </c>
      <c r="G25">
        <f t="shared" si="1"/>
        <v>0</v>
      </c>
      <c r="I25" s="6"/>
      <c r="J25" s="6"/>
      <c r="K25" s="6"/>
      <c r="L25" s="5"/>
      <c r="M25" s="5"/>
      <c r="N25" s="34"/>
      <c r="O25" s="5"/>
      <c r="P25" s="6"/>
      <c r="Q25" s="5"/>
      <c r="R25" s="5"/>
      <c r="S25" s="34"/>
    </row>
    <row r="26" spans="2:19" ht="12.75">
      <c r="B26" s="5">
        <v>20</v>
      </c>
      <c r="C26" s="6" t="s">
        <v>50</v>
      </c>
      <c r="D26" s="7"/>
      <c r="E26" s="8"/>
      <c r="F26" s="9">
        <f t="shared" si="0"/>
        <v>0</v>
      </c>
      <c r="G26">
        <f t="shared" si="1"/>
        <v>0</v>
      </c>
      <c r="I26" s="6"/>
      <c r="J26" s="6"/>
      <c r="K26" s="6"/>
      <c r="L26" s="5"/>
      <c r="M26" s="5"/>
      <c r="N26" s="34"/>
      <c r="O26" s="5"/>
      <c r="P26" s="6"/>
      <c r="Q26" s="5"/>
      <c r="R26" s="5"/>
      <c r="S26" s="34"/>
    </row>
    <row r="27" spans="3:19" ht="12.75">
      <c r="C27" s="5"/>
      <c r="D27" s="5"/>
      <c r="E27" s="5"/>
      <c r="I27" s="6"/>
      <c r="J27" s="6"/>
      <c r="K27" s="5"/>
      <c r="L27" s="5"/>
      <c r="M27" s="5"/>
      <c r="N27" s="34"/>
      <c r="O27" s="5"/>
      <c r="P27" s="5"/>
      <c r="Q27" s="5"/>
      <c r="R27" s="5"/>
      <c r="S27" s="34"/>
    </row>
    <row r="28" spans="5:19" ht="12.75">
      <c r="E28" t="s">
        <v>51</v>
      </c>
      <c r="F28" s="9">
        <f>SUM(F7:F27)</f>
        <v>0</v>
      </c>
      <c r="K28" s="5"/>
      <c r="L28" s="27"/>
      <c r="M28" s="35"/>
      <c r="N28" s="5"/>
      <c r="O28" s="5"/>
      <c r="P28" s="5"/>
      <c r="Q28" s="5"/>
      <c r="R28" s="5"/>
      <c r="S28" s="36"/>
    </row>
    <row r="29" spans="1:6" ht="12.75">
      <c r="A29" t="s">
        <v>52</v>
      </c>
      <c r="D29" s="9"/>
      <c r="F29" s="9"/>
    </row>
    <row r="30" spans="1:7" ht="12.75">
      <c r="A30" t="s">
        <v>53</v>
      </c>
      <c r="E30" t="s">
        <v>4</v>
      </c>
      <c r="F30" s="9">
        <f>SUM(D7:D27)</f>
        <v>0</v>
      </c>
      <c r="G30" t="s">
        <v>5</v>
      </c>
    </row>
    <row r="31" spans="5:7" ht="12.75">
      <c r="E31" t="s">
        <v>6</v>
      </c>
      <c r="F31" t="e">
        <f>F28/displacement</f>
        <v>#DIV/0!</v>
      </c>
      <c r="G31" t="s">
        <v>54</v>
      </c>
    </row>
    <row r="32" spans="5:7" ht="12.75">
      <c r="E32" t="s">
        <v>8</v>
      </c>
      <c r="F32" t="e">
        <f>LBP/2-lcg</f>
        <v>#DIV/0!</v>
      </c>
      <c r="G32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C3" sqref="C3"/>
    </sheetView>
  </sheetViews>
  <sheetFormatPr defaultColWidth="9.140625" defaultRowHeight="12.75"/>
  <sheetData>
    <row r="1" spans="3:4" ht="12.75">
      <c r="C1" t="s">
        <v>0</v>
      </c>
      <c r="D1">
        <f>LBP</f>
        <v>0</v>
      </c>
    </row>
    <row r="2" spans="2:4" ht="12.75">
      <c r="B2" t="s">
        <v>56</v>
      </c>
      <c r="C2" s="14">
        <v>600</v>
      </c>
      <c r="D2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spans="1:22" ht="12.75">
      <c r="A7" s="4"/>
      <c r="B7" s="4" t="s">
        <v>61</v>
      </c>
      <c r="C7" s="4"/>
      <c r="D7" s="4"/>
      <c r="E7" s="4"/>
      <c r="F7" s="4"/>
      <c r="G7" s="4"/>
      <c r="H7" s="4"/>
      <c r="I7" s="4"/>
      <c r="J7" s="4"/>
      <c r="K7" s="4"/>
      <c r="L7" s="4" t="s">
        <v>62</v>
      </c>
      <c r="M7" s="4"/>
      <c r="N7" s="4"/>
      <c r="O7" s="4"/>
      <c r="P7" s="4"/>
      <c r="Q7" s="4"/>
      <c r="R7" s="4"/>
      <c r="S7" s="4"/>
      <c r="T7" s="4"/>
      <c r="U7" s="4"/>
      <c r="V7" s="4" t="s">
        <v>63</v>
      </c>
    </row>
    <row r="8" spans="1:22" ht="12.75">
      <c r="A8" s="4" t="s">
        <v>64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</row>
    <row r="9" spans="1:22" ht="12.75">
      <c r="A9" s="7">
        <v>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 t="s">
        <v>65</v>
      </c>
      <c r="K9" s="15" t="s">
        <v>66</v>
      </c>
      <c r="L9" s="15" t="s">
        <v>67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8">
        <v>0</v>
      </c>
    </row>
    <row r="10" spans="1:22" ht="12.75">
      <c r="A10" s="10">
        <v>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>
        <v>0.013519176136363636</v>
      </c>
      <c r="I10" s="5">
        <v>0.054389204545454546</v>
      </c>
      <c r="J10" s="5"/>
      <c r="K10" s="5"/>
      <c r="L10" s="5"/>
      <c r="M10" s="5"/>
      <c r="N10" s="5">
        <v>0.025726546397438068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11">
        <v>0</v>
      </c>
    </row>
    <row r="11" spans="1:22" ht="12.75">
      <c r="A11" s="10">
        <v>2.5</v>
      </c>
      <c r="B11" s="5">
        <v>0</v>
      </c>
      <c r="C11" s="5">
        <v>0</v>
      </c>
      <c r="D11" s="5">
        <v>0</v>
      </c>
      <c r="E11" s="5">
        <v>0.0016925899621212123</v>
      </c>
      <c r="F11" s="5">
        <v>0.028664772727272726</v>
      </c>
      <c r="G11">
        <v>0.06341382575757576</v>
      </c>
      <c r="H11" s="5">
        <v>0.11022490530303031</v>
      </c>
      <c r="I11" s="5">
        <v>0.1616015625</v>
      </c>
      <c r="J11" s="5"/>
      <c r="K11" s="5"/>
      <c r="L11" s="5"/>
      <c r="M11" s="5"/>
      <c r="N11" s="5">
        <v>0.13137347445824024</v>
      </c>
      <c r="O11" s="5">
        <v>0.05781227774281062</v>
      </c>
      <c r="P11" s="5">
        <v>0.0055409840125761715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11">
        <v>0</v>
      </c>
    </row>
    <row r="12" spans="1:22" ht="12.75">
      <c r="A12" s="10">
        <v>5</v>
      </c>
      <c r="B12" s="5">
        <v>0</v>
      </c>
      <c r="C12" s="5">
        <v>0</v>
      </c>
      <c r="D12" s="5">
        <v>0</v>
      </c>
      <c r="E12" s="5">
        <v>0.015201231060606061</v>
      </c>
      <c r="F12" s="5">
        <v>0.1869140625</v>
      </c>
      <c r="G12" s="5">
        <v>0.2399704071969697</v>
      </c>
      <c r="H12" s="5">
        <v>0.2965234375</v>
      </c>
      <c r="I12" s="5">
        <v>0.3569318181818182</v>
      </c>
      <c r="J12" s="5"/>
      <c r="K12" s="5"/>
      <c r="L12" s="5"/>
      <c r="M12" s="5"/>
      <c r="N12" s="5">
        <v>0.3241078789739867</v>
      </c>
      <c r="O12" s="5">
        <v>0.24195421212057416</v>
      </c>
      <c r="P12" s="5">
        <v>0.16644717105258647</v>
      </c>
      <c r="Q12" s="5">
        <v>0.09419660992538442</v>
      </c>
      <c r="R12" s="5">
        <v>0.025200162970758225</v>
      </c>
      <c r="S12" s="5">
        <v>0</v>
      </c>
      <c r="T12" s="5">
        <v>0</v>
      </c>
      <c r="U12" s="5">
        <v>0</v>
      </c>
      <c r="V12" s="11">
        <v>0</v>
      </c>
    </row>
    <row r="13" spans="1:22" ht="12.75">
      <c r="A13" s="10">
        <v>7.5</v>
      </c>
      <c r="B13" s="5">
        <v>0</v>
      </c>
      <c r="C13" s="5">
        <v>0</v>
      </c>
      <c r="D13" s="5">
        <v>0</v>
      </c>
      <c r="E13" s="5">
        <v>0.07644412878787879</v>
      </c>
      <c r="F13" s="5">
        <v>0.375474668560606</v>
      </c>
      <c r="G13" s="5">
        <v>0.4380196496212121</v>
      </c>
      <c r="H13" s="5">
        <v>0.5036695075757576</v>
      </c>
      <c r="I13" s="5">
        <v>0.5730658143939393</v>
      </c>
      <c r="J13" s="5"/>
      <c r="K13" s="5"/>
      <c r="L13" s="5"/>
      <c r="M13" s="5"/>
      <c r="N13" s="5">
        <v>0.5376657752723668</v>
      </c>
      <c r="O13" s="5">
        <v>0.44693028423791553</v>
      </c>
      <c r="P13" s="5">
        <v>0.3631584319290018</v>
      </c>
      <c r="Q13" s="5">
        <v>0.2826430595608737</v>
      </c>
      <c r="R13" s="5">
        <v>0.20536287521964314</v>
      </c>
      <c r="S13" s="5">
        <v>0.09013103725684819</v>
      </c>
      <c r="T13" s="5">
        <v>0</v>
      </c>
      <c r="U13" s="5">
        <v>0</v>
      </c>
      <c r="V13" s="11">
        <v>0</v>
      </c>
    </row>
    <row r="14" spans="1:22" ht="12.75">
      <c r="A14" s="10">
        <v>10</v>
      </c>
      <c r="B14" s="5">
        <v>0</v>
      </c>
      <c r="C14" s="5">
        <v>0</v>
      </c>
      <c r="D14" s="5">
        <v>0</v>
      </c>
      <c r="E14" s="5">
        <v>0.19015151515151515</v>
      </c>
      <c r="F14" s="5">
        <v>0.5849431818181817</v>
      </c>
      <c r="G14" s="5">
        <v>0.6569164299242424</v>
      </c>
      <c r="H14" s="5">
        <v>0.731663115530303</v>
      </c>
      <c r="I14" s="5">
        <v>0.8100023674242424</v>
      </c>
      <c r="J14" s="5"/>
      <c r="K14" s="5"/>
      <c r="L14" s="5"/>
      <c r="M14" s="5"/>
      <c r="N14" s="5">
        <v>0.7720459804692757</v>
      </c>
      <c r="O14" s="5">
        <v>0.6727393112107296</v>
      </c>
      <c r="P14" s="5">
        <v>0.5807038305449949</v>
      </c>
      <c r="Q14" s="5">
        <v>0.4919236469359407</v>
      </c>
      <c r="R14" s="5">
        <v>0.4063183242644343</v>
      </c>
      <c r="S14" s="5">
        <v>0.27487860829631977</v>
      </c>
      <c r="T14" s="5">
        <v>0.125058056222187</v>
      </c>
      <c r="U14" s="5">
        <v>0.015269850910135089</v>
      </c>
      <c r="V14" s="11">
        <v>0</v>
      </c>
    </row>
    <row r="15" spans="1:22" ht="12.75">
      <c r="A15" s="10">
        <v>15</v>
      </c>
      <c r="B15" s="5">
        <v>0</v>
      </c>
      <c r="C15" s="5">
        <v>0</v>
      </c>
      <c r="D15" s="5">
        <v>0.055588304924242424</v>
      </c>
      <c r="E15" s="5">
        <v>0.5668134469696969</v>
      </c>
      <c r="F15" s="5">
        <v>1.0467341382575759</v>
      </c>
      <c r="G15" s="5">
        <v>1.1316714015151514</v>
      </c>
      <c r="H15" s="5">
        <v>1.2180752840909093</v>
      </c>
      <c r="I15" s="5">
        <v>1.3071141098484849</v>
      </c>
      <c r="J15" s="5"/>
      <c r="K15" s="5"/>
      <c r="L15" s="5"/>
      <c r="M15" s="5"/>
      <c r="N15" s="5">
        <v>1.264254702474497</v>
      </c>
      <c r="O15" s="5">
        <v>1.1520747055023401</v>
      </c>
      <c r="P15" s="5">
        <v>1.0476402336490591</v>
      </c>
      <c r="Q15" s="5">
        <v>0.9464622417365636</v>
      </c>
      <c r="R15" s="5">
        <v>0.8480273580633277</v>
      </c>
      <c r="S15" s="5">
        <v>0.6892594706197425</v>
      </c>
      <c r="T15" s="5">
        <v>0.5025341173568806</v>
      </c>
      <c r="U15" s="5">
        <v>0.34590725014316165</v>
      </c>
      <c r="V15" s="11">
        <v>0.11956829109135295</v>
      </c>
    </row>
    <row r="16" spans="1:22" ht="12.75">
      <c r="A16" s="10">
        <v>18</v>
      </c>
      <c r="B16" s="5">
        <v>0</v>
      </c>
      <c r="C16" s="5">
        <v>0</v>
      </c>
      <c r="D16" s="5">
        <v>0.18846946022727273</v>
      </c>
      <c r="E16" s="5">
        <v>0.8254711174242424</v>
      </c>
      <c r="F16" s="5">
        <v>1.336245265151515</v>
      </c>
      <c r="G16" s="5">
        <v>1.4248579545454545</v>
      </c>
      <c r="H16" s="5">
        <v>1.5144294507575757</v>
      </c>
      <c r="I16" s="5">
        <v>1.6065340909090908</v>
      </c>
      <c r="J16" s="5"/>
      <c r="K16" s="5"/>
      <c r="L16" s="5"/>
      <c r="M16" s="5"/>
      <c r="N16" s="5">
        <v>1.562093091246897</v>
      </c>
      <c r="O16" s="5">
        <v>1.4462887373773314</v>
      </c>
      <c r="P16" s="5">
        <v>1.3383742204874387</v>
      </c>
      <c r="Q16" s="5">
        <v>1.233724463727066</v>
      </c>
      <c r="R16" s="5">
        <v>1.1312985290839026</v>
      </c>
      <c r="S16" s="5">
        <v>0.9588269292850679</v>
      </c>
      <c r="T16" s="5">
        <v>0.7509350478491518</v>
      </c>
      <c r="U16" s="5">
        <v>0.5747255342788378</v>
      </c>
      <c r="V16" s="11">
        <v>0.22839717739433216</v>
      </c>
    </row>
    <row r="17" spans="1:22" ht="12.75">
      <c r="A17" s="10">
        <v>20</v>
      </c>
      <c r="B17" s="5">
        <v>0</v>
      </c>
      <c r="C17" s="5">
        <v>0.005559422348484849</v>
      </c>
      <c r="D17" s="5">
        <v>0.3157267992424242</v>
      </c>
      <c r="E17" s="5">
        <v>1.0056936553030302</v>
      </c>
      <c r="F17" s="5">
        <v>1.5342092803030303</v>
      </c>
      <c r="G17" s="5">
        <v>1.623650568181818</v>
      </c>
      <c r="H17" s="5">
        <v>1.7138375946969695</v>
      </c>
      <c r="I17" s="5">
        <v>1.806628787878788</v>
      </c>
      <c r="J17" s="5"/>
      <c r="K17" s="5"/>
      <c r="L17" s="5"/>
      <c r="M17" s="5"/>
      <c r="N17" s="5">
        <v>1.7617047839485236</v>
      </c>
      <c r="O17" s="5">
        <v>1.6451788707749697</v>
      </c>
      <c r="P17" s="5">
        <v>1.5366019387863339</v>
      </c>
      <c r="Q17" s="5">
        <v>1.4312897669272182</v>
      </c>
      <c r="R17" s="5">
        <v>1.32775192122545</v>
      </c>
      <c r="S17" s="5">
        <v>1.146845174874584</v>
      </c>
      <c r="T17" s="5">
        <v>0.924868692401641</v>
      </c>
      <c r="U17" s="5">
        <v>0.735041817015735</v>
      </c>
      <c r="V17" s="11">
        <v>0.30397400862450885</v>
      </c>
    </row>
    <row r="18" spans="1:22" ht="12.75">
      <c r="A18" s="10">
        <v>25</v>
      </c>
      <c r="B18" s="5">
        <v>0</v>
      </c>
      <c r="C18" s="5">
        <v>0.15687973484848483</v>
      </c>
      <c r="D18" s="5">
        <v>0.707734375</v>
      </c>
      <c r="E18" s="5">
        <v>1.4746330492424242</v>
      </c>
      <c r="F18" s="5">
        <v>2.0340435606060603</v>
      </c>
      <c r="G18" s="5">
        <v>2.1239938446969697</v>
      </c>
      <c r="H18" s="5">
        <v>2.2141690340909093</v>
      </c>
      <c r="I18" s="5">
        <v>2.307327178030303</v>
      </c>
      <c r="J18" s="5"/>
      <c r="K18" s="5"/>
      <c r="L18" s="5"/>
      <c r="M18" s="5"/>
      <c r="N18" s="5">
        <v>2.261792696976474</v>
      </c>
      <c r="O18" s="5">
        <v>2.1451603242334794</v>
      </c>
      <c r="P18" s="5">
        <v>2.0365833922448435</v>
      </c>
      <c r="Q18" s="5">
        <v>1.9312712203857276</v>
      </c>
      <c r="R18" s="5">
        <v>1.826585977102208</v>
      </c>
      <c r="S18" s="5">
        <v>1.6269979420826794</v>
      </c>
      <c r="T18" s="5">
        <v>1.372772490257888</v>
      </c>
      <c r="U18" s="5">
        <v>1.1516299410788984</v>
      </c>
      <c r="V18" s="11">
        <v>0.5017865346025847</v>
      </c>
    </row>
    <row r="19" spans="1:22" ht="12.75">
      <c r="A19" s="10">
        <v>30</v>
      </c>
      <c r="B19" s="5">
        <v>0.05635298295454545</v>
      </c>
      <c r="C19" s="5">
        <v>0.4980255681818182</v>
      </c>
      <c r="D19" s="5">
        <v>1.1319247159090908</v>
      </c>
      <c r="E19" s="5">
        <v>1.9465317234848483</v>
      </c>
      <c r="F19" s="5">
        <v>2.533889678030303</v>
      </c>
      <c r="G19" s="5">
        <v>2.6243252840909093</v>
      </c>
      <c r="H19" s="5">
        <v>2.7145123106060605</v>
      </c>
      <c r="I19" s="5">
        <v>2.8080255681818183</v>
      </c>
      <c r="J19" s="5"/>
      <c r="K19" s="5"/>
      <c r="L19" s="5"/>
      <c r="M19" s="5"/>
      <c r="N19" s="5">
        <v>2.7618687811633755</v>
      </c>
      <c r="O19" s="5">
        <v>2.6451536065330377</v>
      </c>
      <c r="P19" s="5">
        <v>2.536564845703353</v>
      </c>
      <c r="Q19" s="5">
        <v>2.431240845003188</v>
      </c>
      <c r="R19" s="5">
        <v>2.3256684386409945</v>
      </c>
      <c r="S19" s="5">
        <v>2.1107620544630303</v>
      </c>
      <c r="T19" s="5">
        <v>1.8301346294169036</v>
      </c>
      <c r="U19" s="5">
        <v>1.5833613474529726</v>
      </c>
      <c r="V19" s="11">
        <v>0.7090160009397577</v>
      </c>
    </row>
    <row r="20" spans="1:22" ht="12.75">
      <c r="A20" s="10">
        <v>35</v>
      </c>
      <c r="B20" s="5">
        <v>0.27671046401515154</v>
      </c>
      <c r="C20" s="5">
        <v>0.8787642045454546</v>
      </c>
      <c r="D20" s="5">
        <v>1.5577296401515153</v>
      </c>
      <c r="E20" s="5">
        <v>2.418927556818182</v>
      </c>
      <c r="F20" s="5">
        <v>3.0337594696969696</v>
      </c>
      <c r="G20" s="5">
        <v>3.1246567234848484</v>
      </c>
      <c r="H20" s="5">
        <v>3.214855587121212</v>
      </c>
      <c r="I20" s="5">
        <v>3.308723958333333</v>
      </c>
      <c r="J20" s="5"/>
      <c r="K20" s="5"/>
      <c r="L20" s="5"/>
      <c r="M20" s="5"/>
      <c r="N20" s="5">
        <v>3.261956694191326</v>
      </c>
      <c r="O20" s="5">
        <v>3.1451350599915475</v>
      </c>
      <c r="P20" s="5">
        <v>3.036546299161863</v>
      </c>
      <c r="Q20" s="5">
        <v>2.9312222984616976</v>
      </c>
      <c r="R20" s="5">
        <v>2.824987477000761</v>
      </c>
      <c r="S20" s="5">
        <v>2.5981339633633214</v>
      </c>
      <c r="T20" s="5">
        <v>2.296971670256156</v>
      </c>
      <c r="U20" s="5">
        <v>2.0302549622836366</v>
      </c>
      <c r="V20" s="11">
        <v>0.9256624076360278</v>
      </c>
    </row>
    <row r="21" spans="1:22" ht="12.75">
      <c r="A21" s="12">
        <v>40</v>
      </c>
      <c r="B21" s="16">
        <v>0.5003314393939394</v>
      </c>
      <c r="C21" s="16">
        <v>1.2638967803030303</v>
      </c>
      <c r="D21" s="16">
        <v>1.9861860795454547</v>
      </c>
      <c r="E21" s="16">
        <v>2.8923295454545452</v>
      </c>
      <c r="F21" s="16">
        <v>3.533700284090909</v>
      </c>
      <c r="G21" s="16">
        <v>3.625</v>
      </c>
      <c r="H21" s="16">
        <v>3.7151988636363633</v>
      </c>
      <c r="I21" s="16">
        <v>3.8094341856060607</v>
      </c>
      <c r="J21" s="16"/>
      <c r="K21" s="16"/>
      <c r="L21" s="16"/>
      <c r="M21" s="16"/>
      <c r="N21" s="16">
        <v>3.7620327783782272</v>
      </c>
      <c r="O21" s="16">
        <v>3.6451283422911063</v>
      </c>
      <c r="P21" s="16">
        <v>3.536527752620372</v>
      </c>
      <c r="Q21" s="16">
        <v>3.4311919230791585</v>
      </c>
      <c r="R21" s="16">
        <v>3.3245430921815067</v>
      </c>
      <c r="S21" s="16">
        <v>3.089113668783553</v>
      </c>
      <c r="T21" s="16">
        <v>2.7732836127756464</v>
      </c>
      <c r="U21" s="16">
        <v>2.492277664815952</v>
      </c>
      <c r="V21" s="13">
        <v>1.1517257546913953</v>
      </c>
    </row>
    <row r="23" ht="12.75">
      <c r="A23" t="s">
        <v>68</v>
      </c>
    </row>
    <row r="24" spans="1:23" ht="12.75">
      <c r="A24" t="str">
        <f aca="true" t="shared" si="0" ref="A24:L37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t="shared" si="0"/>
        <v>0</v>
      </c>
      <c r="B25">
        <f t="shared" si="0"/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I25">
        <f t="shared" si="0"/>
        <v>0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-#REF!</f>
        <v>#REF!</v>
      </c>
      <c r="N25">
        <f aca="true" t="shared" si="2" ref="M25:W37">-M9</f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</row>
    <row r="26" spans="1:23" ht="12.75">
      <c r="A26">
        <f t="shared" si="0"/>
        <v>1</v>
      </c>
      <c r="B26">
        <f t="shared" si="0"/>
        <v>0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0.013519176136363636</v>
      </c>
      <c r="I26">
        <f t="shared" si="0"/>
        <v>0.054389204545454546</v>
      </c>
      <c r="J26">
        <f t="shared" si="0"/>
        <v>0</v>
      </c>
      <c r="K26">
        <f t="shared" si="0"/>
        <v>0</v>
      </c>
      <c r="L26">
        <f t="shared" si="0"/>
        <v>0</v>
      </c>
      <c r="M26">
        <f t="shared" si="2"/>
        <v>0</v>
      </c>
      <c r="N26">
        <f t="shared" si="2"/>
        <v>0</v>
      </c>
      <c r="O26">
        <f t="shared" si="2"/>
        <v>-0.025726546397438068</v>
      </c>
      <c r="P26">
        <f t="shared" si="2"/>
        <v>0</v>
      </c>
      <c r="Q26">
        <f t="shared" si="2"/>
        <v>0</v>
      </c>
      <c r="R26">
        <f t="shared" si="2"/>
        <v>0</v>
      </c>
      <c r="S26">
        <f t="shared" si="2"/>
        <v>0</v>
      </c>
      <c r="T26">
        <f t="shared" si="2"/>
        <v>0</v>
      </c>
      <c r="U26">
        <f t="shared" si="2"/>
        <v>0</v>
      </c>
      <c r="V26">
        <f t="shared" si="2"/>
        <v>0</v>
      </c>
      <c r="W26">
        <f t="shared" si="2"/>
        <v>0</v>
      </c>
    </row>
    <row r="27" spans="1:23" ht="12.75">
      <c r="A27">
        <f t="shared" si="0"/>
        <v>2.5</v>
      </c>
      <c r="B27">
        <f t="shared" si="0"/>
        <v>0</v>
      </c>
      <c r="C27">
        <f t="shared" si="0"/>
        <v>0</v>
      </c>
      <c r="D27">
        <f t="shared" si="0"/>
        <v>0</v>
      </c>
      <c r="E27">
        <f t="shared" si="0"/>
        <v>0.0016925899621212123</v>
      </c>
      <c r="F27">
        <f t="shared" si="0"/>
        <v>0.028664772727272726</v>
      </c>
      <c r="G27">
        <f t="shared" si="0"/>
        <v>0.06341382575757576</v>
      </c>
      <c r="H27">
        <f t="shared" si="0"/>
        <v>0.11022490530303031</v>
      </c>
      <c r="I27">
        <f t="shared" si="0"/>
        <v>0.1616015625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2"/>
        <v>0</v>
      </c>
      <c r="N27">
        <f t="shared" si="2"/>
        <v>0</v>
      </c>
      <c r="O27">
        <f t="shared" si="2"/>
        <v>-0.13137347445824024</v>
      </c>
      <c r="P27">
        <f t="shared" si="2"/>
        <v>-0.05781227774281062</v>
      </c>
      <c r="Q27">
        <f t="shared" si="2"/>
        <v>-0.0055409840125761715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1:23" ht="12.75">
      <c r="A28">
        <f t="shared" si="0"/>
        <v>5</v>
      </c>
      <c r="B28">
        <f t="shared" si="0"/>
        <v>0</v>
      </c>
      <c r="C28">
        <f t="shared" si="0"/>
        <v>0</v>
      </c>
      <c r="D28">
        <f t="shared" si="0"/>
        <v>0</v>
      </c>
      <c r="E28">
        <f t="shared" si="0"/>
        <v>0.015201231060606061</v>
      </c>
      <c r="F28">
        <f t="shared" si="0"/>
        <v>0.1869140625</v>
      </c>
      <c r="G28">
        <f t="shared" si="0"/>
        <v>0.2399704071969697</v>
      </c>
      <c r="H28">
        <f t="shared" si="0"/>
        <v>0.2965234375</v>
      </c>
      <c r="I28">
        <f t="shared" si="0"/>
        <v>0.3569318181818182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2"/>
        <v>0</v>
      </c>
      <c r="N28">
        <f t="shared" si="2"/>
        <v>0</v>
      </c>
      <c r="O28">
        <f t="shared" si="2"/>
        <v>-0.3241078789739867</v>
      </c>
      <c r="P28">
        <f t="shared" si="2"/>
        <v>-0.24195421212057416</v>
      </c>
      <c r="Q28">
        <f t="shared" si="2"/>
        <v>-0.16644717105258647</v>
      </c>
      <c r="R28">
        <f t="shared" si="2"/>
        <v>-0.09419660992538442</v>
      </c>
      <c r="S28">
        <f t="shared" si="2"/>
        <v>-0.025200162970758225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</row>
    <row r="29" spans="1:23" ht="12.75">
      <c r="A29">
        <f t="shared" si="0"/>
        <v>7.5</v>
      </c>
      <c r="B29">
        <f t="shared" si="0"/>
        <v>0</v>
      </c>
      <c r="C29">
        <f t="shared" si="0"/>
        <v>0</v>
      </c>
      <c r="D29">
        <f t="shared" si="0"/>
        <v>0</v>
      </c>
      <c r="E29">
        <f t="shared" si="0"/>
        <v>0.07644412878787879</v>
      </c>
      <c r="F29">
        <f t="shared" si="0"/>
        <v>0.375474668560606</v>
      </c>
      <c r="G29">
        <f t="shared" si="0"/>
        <v>0.4380196496212121</v>
      </c>
      <c r="H29">
        <f t="shared" si="0"/>
        <v>0.5036695075757576</v>
      </c>
      <c r="I29">
        <f t="shared" si="0"/>
        <v>0.5730658143939393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2"/>
        <v>0</v>
      </c>
      <c r="N29">
        <f t="shared" si="2"/>
        <v>0</v>
      </c>
      <c r="O29">
        <f t="shared" si="2"/>
        <v>-0.5376657752723668</v>
      </c>
      <c r="P29">
        <f t="shared" si="2"/>
        <v>-0.44693028423791553</v>
      </c>
      <c r="Q29">
        <f t="shared" si="2"/>
        <v>-0.3631584319290018</v>
      </c>
      <c r="R29">
        <f t="shared" si="2"/>
        <v>-0.2826430595608737</v>
      </c>
      <c r="S29">
        <f t="shared" si="2"/>
        <v>-0.20536287521964314</v>
      </c>
      <c r="T29">
        <f t="shared" si="2"/>
        <v>-0.09013103725684819</v>
      </c>
      <c r="U29">
        <f t="shared" si="2"/>
        <v>0</v>
      </c>
      <c r="V29">
        <f t="shared" si="2"/>
        <v>0</v>
      </c>
      <c r="W29">
        <f t="shared" si="2"/>
        <v>0</v>
      </c>
    </row>
    <row r="30" spans="1:23" ht="12.75">
      <c r="A30">
        <f t="shared" si="0"/>
        <v>10</v>
      </c>
      <c r="B30">
        <f t="shared" si="0"/>
        <v>0</v>
      </c>
      <c r="C30">
        <f t="shared" si="0"/>
        <v>0</v>
      </c>
      <c r="D30">
        <f t="shared" si="0"/>
        <v>0</v>
      </c>
      <c r="E30">
        <f t="shared" si="0"/>
        <v>0.19015151515151515</v>
      </c>
      <c r="F30">
        <f t="shared" si="0"/>
        <v>0.5849431818181817</v>
      </c>
      <c r="G30">
        <f t="shared" si="0"/>
        <v>0.6569164299242424</v>
      </c>
      <c r="H30">
        <f t="shared" si="0"/>
        <v>0.731663115530303</v>
      </c>
      <c r="I30">
        <f t="shared" si="0"/>
        <v>0.8100023674242424</v>
      </c>
      <c r="J30">
        <f t="shared" si="0"/>
        <v>0</v>
      </c>
      <c r="K30">
        <f t="shared" si="0"/>
        <v>0</v>
      </c>
      <c r="L30">
        <f t="shared" si="0"/>
        <v>0</v>
      </c>
      <c r="M30">
        <f t="shared" si="2"/>
        <v>0</v>
      </c>
      <c r="N30">
        <f t="shared" si="2"/>
        <v>0</v>
      </c>
      <c r="O30">
        <f t="shared" si="2"/>
        <v>-0.7720459804692757</v>
      </c>
      <c r="P30">
        <f t="shared" si="2"/>
        <v>-0.6727393112107296</v>
      </c>
      <c r="Q30">
        <f t="shared" si="2"/>
        <v>-0.5807038305449949</v>
      </c>
      <c r="R30">
        <f t="shared" si="2"/>
        <v>-0.4919236469359407</v>
      </c>
      <c r="S30">
        <f t="shared" si="2"/>
        <v>-0.4063183242644343</v>
      </c>
      <c r="T30">
        <f t="shared" si="2"/>
        <v>-0.27487860829631977</v>
      </c>
      <c r="U30">
        <f t="shared" si="2"/>
        <v>-0.125058056222187</v>
      </c>
      <c r="V30">
        <f t="shared" si="2"/>
        <v>-0.015269850910135089</v>
      </c>
      <c r="W30">
        <f t="shared" si="2"/>
        <v>0</v>
      </c>
    </row>
    <row r="31" spans="1:23" ht="12.75">
      <c r="A31">
        <f t="shared" si="0"/>
        <v>15</v>
      </c>
      <c r="B31">
        <f t="shared" si="0"/>
        <v>0</v>
      </c>
      <c r="C31">
        <f t="shared" si="0"/>
        <v>0</v>
      </c>
      <c r="D31">
        <f t="shared" si="0"/>
        <v>0.055588304924242424</v>
      </c>
      <c r="E31">
        <f t="shared" si="0"/>
        <v>0.5668134469696969</v>
      </c>
      <c r="F31">
        <f t="shared" si="0"/>
        <v>1.0467341382575759</v>
      </c>
      <c r="G31">
        <f t="shared" si="0"/>
        <v>1.1316714015151514</v>
      </c>
      <c r="H31">
        <f t="shared" si="0"/>
        <v>1.2180752840909093</v>
      </c>
      <c r="I31">
        <f t="shared" si="0"/>
        <v>1.3071141098484849</v>
      </c>
      <c r="J31">
        <f t="shared" si="0"/>
        <v>0</v>
      </c>
      <c r="K31">
        <f t="shared" si="0"/>
        <v>0</v>
      </c>
      <c r="L31">
        <f t="shared" si="0"/>
        <v>0</v>
      </c>
      <c r="M31">
        <f t="shared" si="2"/>
        <v>0</v>
      </c>
      <c r="N31">
        <f t="shared" si="2"/>
        <v>0</v>
      </c>
      <c r="O31">
        <f t="shared" si="2"/>
        <v>-1.264254702474497</v>
      </c>
      <c r="P31">
        <f t="shared" si="2"/>
        <v>-1.1520747055023401</v>
      </c>
      <c r="Q31">
        <f t="shared" si="2"/>
        <v>-1.0476402336490591</v>
      </c>
      <c r="R31">
        <f t="shared" si="2"/>
        <v>-0.9464622417365636</v>
      </c>
      <c r="S31">
        <f t="shared" si="2"/>
        <v>-0.8480273580633277</v>
      </c>
      <c r="T31">
        <f t="shared" si="2"/>
        <v>-0.6892594706197425</v>
      </c>
      <c r="U31">
        <f t="shared" si="2"/>
        <v>-0.5025341173568806</v>
      </c>
      <c r="V31">
        <f t="shared" si="2"/>
        <v>-0.34590725014316165</v>
      </c>
      <c r="W31">
        <f t="shared" si="2"/>
        <v>-0.11956829109135295</v>
      </c>
    </row>
    <row r="32" spans="1:23" ht="12.75">
      <c r="A32">
        <f t="shared" si="0"/>
        <v>18</v>
      </c>
      <c r="B32">
        <f t="shared" si="0"/>
        <v>0</v>
      </c>
      <c r="C32">
        <f t="shared" si="0"/>
        <v>0</v>
      </c>
      <c r="D32">
        <f t="shared" si="0"/>
        <v>0.18846946022727273</v>
      </c>
      <c r="E32">
        <f t="shared" si="0"/>
        <v>0.8254711174242424</v>
      </c>
      <c r="F32">
        <f t="shared" si="0"/>
        <v>1.336245265151515</v>
      </c>
      <c r="G32">
        <f t="shared" si="0"/>
        <v>1.4248579545454545</v>
      </c>
      <c r="H32">
        <f t="shared" si="0"/>
        <v>1.5144294507575757</v>
      </c>
      <c r="I32">
        <f t="shared" si="0"/>
        <v>1.6065340909090908</v>
      </c>
      <c r="J32">
        <f t="shared" si="0"/>
        <v>0</v>
      </c>
      <c r="K32">
        <f t="shared" si="0"/>
        <v>0</v>
      </c>
      <c r="L32">
        <f t="shared" si="0"/>
        <v>0</v>
      </c>
      <c r="M32">
        <f t="shared" si="2"/>
        <v>0</v>
      </c>
      <c r="N32">
        <f t="shared" si="2"/>
        <v>0</v>
      </c>
      <c r="O32">
        <f t="shared" si="2"/>
        <v>-1.562093091246897</v>
      </c>
      <c r="P32">
        <f t="shared" si="2"/>
        <v>-1.4462887373773314</v>
      </c>
      <c r="Q32">
        <f t="shared" si="2"/>
        <v>-1.3383742204874387</v>
      </c>
      <c r="R32">
        <f t="shared" si="2"/>
        <v>-1.233724463727066</v>
      </c>
      <c r="S32">
        <f t="shared" si="2"/>
        <v>-1.1312985290839026</v>
      </c>
      <c r="T32">
        <f t="shared" si="2"/>
        <v>-0.9588269292850679</v>
      </c>
      <c r="U32">
        <f t="shared" si="2"/>
        <v>-0.7509350478491518</v>
      </c>
      <c r="V32">
        <f t="shared" si="2"/>
        <v>-0.5747255342788378</v>
      </c>
      <c r="W32">
        <f t="shared" si="2"/>
        <v>-0.22839717739433216</v>
      </c>
    </row>
    <row r="33" spans="1:23" ht="12.75">
      <c r="A33">
        <f t="shared" si="0"/>
        <v>20</v>
      </c>
      <c r="B33">
        <f t="shared" si="0"/>
        <v>0</v>
      </c>
      <c r="C33">
        <f t="shared" si="0"/>
        <v>0.005559422348484849</v>
      </c>
      <c r="D33">
        <f t="shared" si="0"/>
        <v>0.3157267992424242</v>
      </c>
      <c r="E33">
        <f t="shared" si="0"/>
        <v>1.0056936553030302</v>
      </c>
      <c r="F33">
        <f t="shared" si="0"/>
        <v>1.5342092803030303</v>
      </c>
      <c r="G33">
        <f t="shared" si="0"/>
        <v>1.623650568181818</v>
      </c>
      <c r="H33">
        <f t="shared" si="0"/>
        <v>1.7138375946969695</v>
      </c>
      <c r="I33">
        <f t="shared" si="0"/>
        <v>1.806628787878788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2"/>
        <v>0</v>
      </c>
      <c r="N33">
        <f t="shared" si="2"/>
        <v>0</v>
      </c>
      <c r="O33">
        <f t="shared" si="2"/>
        <v>-1.7617047839485236</v>
      </c>
      <c r="P33">
        <f t="shared" si="2"/>
        <v>-1.6451788707749697</v>
      </c>
      <c r="Q33">
        <f t="shared" si="2"/>
        <v>-1.5366019387863339</v>
      </c>
      <c r="R33">
        <f t="shared" si="2"/>
        <v>-1.4312897669272182</v>
      </c>
      <c r="S33">
        <f t="shared" si="2"/>
        <v>-1.32775192122545</v>
      </c>
      <c r="T33">
        <f t="shared" si="2"/>
        <v>-1.146845174874584</v>
      </c>
      <c r="U33">
        <f t="shared" si="2"/>
        <v>-0.924868692401641</v>
      </c>
      <c r="V33">
        <f t="shared" si="2"/>
        <v>-0.735041817015735</v>
      </c>
      <c r="W33">
        <f t="shared" si="2"/>
        <v>-0.30397400862450885</v>
      </c>
    </row>
    <row r="34" spans="1:23" ht="12.75">
      <c r="A34">
        <f t="shared" si="0"/>
        <v>25</v>
      </c>
      <c r="B34">
        <f t="shared" si="0"/>
        <v>0</v>
      </c>
      <c r="C34">
        <f t="shared" si="0"/>
        <v>0.15687973484848483</v>
      </c>
      <c r="D34">
        <f t="shared" si="0"/>
        <v>0.707734375</v>
      </c>
      <c r="E34">
        <f t="shared" si="0"/>
        <v>1.4746330492424242</v>
      </c>
      <c r="F34">
        <f t="shared" si="0"/>
        <v>2.0340435606060603</v>
      </c>
      <c r="G34">
        <f t="shared" si="0"/>
        <v>2.1239938446969697</v>
      </c>
      <c r="H34">
        <f t="shared" si="0"/>
        <v>2.2141690340909093</v>
      </c>
      <c r="I34">
        <f t="shared" si="0"/>
        <v>2.307327178030303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2"/>
        <v>0</v>
      </c>
      <c r="N34">
        <f t="shared" si="2"/>
        <v>0</v>
      </c>
      <c r="O34">
        <f t="shared" si="2"/>
        <v>-2.261792696976474</v>
      </c>
      <c r="P34">
        <f t="shared" si="2"/>
        <v>-2.1451603242334794</v>
      </c>
      <c r="Q34">
        <f t="shared" si="2"/>
        <v>-2.0365833922448435</v>
      </c>
      <c r="R34">
        <f t="shared" si="2"/>
        <v>-1.9312712203857276</v>
      </c>
      <c r="S34">
        <f t="shared" si="2"/>
        <v>-1.826585977102208</v>
      </c>
      <c r="T34">
        <f t="shared" si="2"/>
        <v>-1.6269979420826794</v>
      </c>
      <c r="U34">
        <f t="shared" si="2"/>
        <v>-1.372772490257888</v>
      </c>
      <c r="V34">
        <f t="shared" si="2"/>
        <v>-1.1516299410788984</v>
      </c>
      <c r="W34">
        <f t="shared" si="2"/>
        <v>-0.5017865346025847</v>
      </c>
    </row>
    <row r="35" spans="1:23" ht="12.75">
      <c r="A35">
        <f t="shared" si="0"/>
        <v>30</v>
      </c>
      <c r="B35">
        <f t="shared" si="0"/>
        <v>0.05635298295454545</v>
      </c>
      <c r="C35">
        <f t="shared" si="0"/>
        <v>0.4980255681818182</v>
      </c>
      <c r="D35">
        <f t="shared" si="0"/>
        <v>1.1319247159090908</v>
      </c>
      <c r="E35">
        <f t="shared" si="0"/>
        <v>1.9465317234848483</v>
      </c>
      <c r="F35">
        <f t="shared" si="0"/>
        <v>2.533889678030303</v>
      </c>
      <c r="G35">
        <f t="shared" si="0"/>
        <v>2.6243252840909093</v>
      </c>
      <c r="H35">
        <f t="shared" si="0"/>
        <v>2.7145123106060605</v>
      </c>
      <c r="I35">
        <f t="shared" si="0"/>
        <v>2.8080255681818183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2"/>
        <v>0</v>
      </c>
      <c r="N35">
        <f t="shared" si="2"/>
        <v>0</v>
      </c>
      <c r="O35">
        <f t="shared" si="2"/>
        <v>-2.7618687811633755</v>
      </c>
      <c r="P35">
        <f t="shared" si="2"/>
        <v>-2.6451536065330377</v>
      </c>
      <c r="Q35">
        <f t="shared" si="2"/>
        <v>-2.536564845703353</v>
      </c>
      <c r="R35">
        <f t="shared" si="2"/>
        <v>-2.431240845003188</v>
      </c>
      <c r="S35">
        <f t="shared" si="2"/>
        <v>-2.3256684386409945</v>
      </c>
      <c r="T35">
        <f t="shared" si="2"/>
        <v>-2.1107620544630303</v>
      </c>
      <c r="U35">
        <f t="shared" si="2"/>
        <v>-1.8301346294169036</v>
      </c>
      <c r="V35">
        <f t="shared" si="2"/>
        <v>-1.5833613474529726</v>
      </c>
      <c r="W35">
        <f t="shared" si="2"/>
        <v>-0.7090160009397577</v>
      </c>
    </row>
    <row r="36" spans="1:23" ht="12.75">
      <c r="A36">
        <f t="shared" si="0"/>
        <v>35</v>
      </c>
      <c r="B36">
        <f t="shared" si="0"/>
        <v>0.27671046401515154</v>
      </c>
      <c r="C36">
        <f t="shared" si="0"/>
        <v>0.8787642045454546</v>
      </c>
      <c r="D36">
        <f t="shared" si="0"/>
        <v>1.5577296401515153</v>
      </c>
      <c r="E36">
        <f t="shared" si="0"/>
        <v>2.418927556818182</v>
      </c>
      <c r="F36">
        <f t="shared" si="0"/>
        <v>3.0337594696969696</v>
      </c>
      <c r="G36">
        <f t="shared" si="0"/>
        <v>3.1246567234848484</v>
      </c>
      <c r="H36">
        <f t="shared" si="0"/>
        <v>3.214855587121212</v>
      </c>
      <c r="I36">
        <f t="shared" si="0"/>
        <v>3.308723958333333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2"/>
        <v>0</v>
      </c>
      <c r="N36">
        <f t="shared" si="2"/>
        <v>0</v>
      </c>
      <c r="O36">
        <f t="shared" si="2"/>
        <v>-3.261956694191326</v>
      </c>
      <c r="P36">
        <f t="shared" si="2"/>
        <v>-3.1451350599915475</v>
      </c>
      <c r="Q36">
        <f t="shared" si="2"/>
        <v>-3.036546299161863</v>
      </c>
      <c r="R36">
        <f t="shared" si="2"/>
        <v>-2.9312222984616976</v>
      </c>
      <c r="S36">
        <f t="shared" si="2"/>
        <v>-2.824987477000761</v>
      </c>
      <c r="T36">
        <f t="shared" si="2"/>
        <v>-2.5981339633633214</v>
      </c>
      <c r="U36">
        <f t="shared" si="2"/>
        <v>-2.296971670256156</v>
      </c>
      <c r="V36">
        <f t="shared" si="2"/>
        <v>-2.0302549622836366</v>
      </c>
      <c r="W36">
        <f t="shared" si="2"/>
        <v>-0.9256624076360278</v>
      </c>
    </row>
    <row r="37" spans="1:23" ht="12.75">
      <c r="A37">
        <f t="shared" si="0"/>
        <v>40</v>
      </c>
      <c r="B37">
        <f t="shared" si="0"/>
        <v>0.5003314393939394</v>
      </c>
      <c r="C37">
        <f t="shared" si="0"/>
        <v>1.2638967803030303</v>
      </c>
      <c r="D37">
        <f t="shared" si="0"/>
        <v>1.9861860795454547</v>
      </c>
      <c r="E37">
        <f t="shared" si="0"/>
        <v>2.8923295454545452</v>
      </c>
      <c r="F37">
        <f t="shared" si="0"/>
        <v>3.533700284090909</v>
      </c>
      <c r="G37">
        <f t="shared" si="0"/>
        <v>3.625</v>
      </c>
      <c r="H37">
        <f t="shared" si="0"/>
        <v>3.7151988636363633</v>
      </c>
      <c r="I37">
        <f t="shared" si="0"/>
        <v>3.8094341856060607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2"/>
        <v>0</v>
      </c>
      <c r="N37">
        <f t="shared" si="2"/>
        <v>0</v>
      </c>
      <c r="O37">
        <f t="shared" si="2"/>
        <v>-3.7620327783782272</v>
      </c>
      <c r="P37">
        <f t="shared" si="2"/>
        <v>-3.6451283422911063</v>
      </c>
      <c r="Q37">
        <f t="shared" si="2"/>
        <v>-3.536527752620372</v>
      </c>
      <c r="R37">
        <f t="shared" si="2"/>
        <v>-3.4311919230791585</v>
      </c>
      <c r="S37">
        <f t="shared" si="2"/>
        <v>-3.3245430921815067</v>
      </c>
      <c r="T37">
        <f t="shared" si="2"/>
        <v>-3.089113668783553</v>
      </c>
      <c r="U37">
        <f t="shared" si="2"/>
        <v>-2.7732836127756464</v>
      </c>
      <c r="V37">
        <f t="shared" si="2"/>
        <v>-2.492277664815952</v>
      </c>
      <c r="W37">
        <f t="shared" si="2"/>
        <v>-1.1517257546913953</v>
      </c>
    </row>
    <row r="39" spans="1:11" ht="12.75">
      <c r="A39" t="s">
        <v>69</v>
      </c>
      <c r="J39" t="s">
        <v>70</v>
      </c>
      <c r="K39">
        <v>20</v>
      </c>
    </row>
    <row r="40" spans="1:22" ht="12.75">
      <c r="A40" t="str">
        <f aca="true" t="shared" si="3" ref="A40:V40">A8</f>
        <v>wl/sta</v>
      </c>
      <c r="B40">
        <f t="shared" si="3"/>
        <v>0</v>
      </c>
      <c r="C40">
        <f t="shared" si="3"/>
        <v>1</v>
      </c>
      <c r="D40">
        <f t="shared" si="3"/>
        <v>2</v>
      </c>
      <c r="E40">
        <f t="shared" si="3"/>
        <v>3</v>
      </c>
      <c r="F40">
        <f t="shared" si="3"/>
        <v>4</v>
      </c>
      <c r="G40">
        <f t="shared" si="3"/>
        <v>5</v>
      </c>
      <c r="H40">
        <f t="shared" si="3"/>
        <v>6</v>
      </c>
      <c r="I40">
        <f t="shared" si="3"/>
        <v>7</v>
      </c>
      <c r="J40">
        <f t="shared" si="3"/>
        <v>8</v>
      </c>
      <c r="K40">
        <f t="shared" si="3"/>
        <v>9</v>
      </c>
      <c r="L40">
        <f t="shared" si="3"/>
        <v>10</v>
      </c>
      <c r="M40">
        <f t="shared" si="3"/>
        <v>11</v>
      </c>
      <c r="N40">
        <f t="shared" si="3"/>
        <v>12</v>
      </c>
      <c r="O40">
        <f t="shared" si="3"/>
        <v>13</v>
      </c>
      <c r="P40">
        <f t="shared" si="3"/>
        <v>14</v>
      </c>
      <c r="Q40">
        <f t="shared" si="3"/>
        <v>15</v>
      </c>
      <c r="R40">
        <f t="shared" si="3"/>
        <v>16</v>
      </c>
      <c r="S40">
        <f t="shared" si="3"/>
        <v>17</v>
      </c>
      <c r="T40">
        <f t="shared" si="3"/>
        <v>18</v>
      </c>
      <c r="U40">
        <f t="shared" si="3"/>
        <v>19</v>
      </c>
      <c r="V40">
        <f t="shared" si="3"/>
        <v>20</v>
      </c>
    </row>
    <row r="41" spans="1:22" ht="12.75">
      <c r="A41">
        <f aca="true" t="shared" si="4" ref="A41:A53">A9</f>
        <v>0</v>
      </c>
      <c r="B41">
        <f>B$40-B9</f>
        <v>0</v>
      </c>
      <c r="C41">
        <f aca="true" t="shared" si="5" ref="C41:V53">C$40-C9</f>
        <v>1</v>
      </c>
      <c r="D41">
        <f t="shared" si="5"/>
        <v>2</v>
      </c>
      <c r="E41">
        <f t="shared" si="5"/>
        <v>3</v>
      </c>
      <c r="F41">
        <f t="shared" si="5"/>
        <v>4</v>
      </c>
      <c r="G41">
        <f t="shared" si="5"/>
        <v>5</v>
      </c>
      <c r="H41">
        <f t="shared" si="5"/>
        <v>6</v>
      </c>
      <c r="I41">
        <f t="shared" si="5"/>
        <v>7</v>
      </c>
      <c r="J41" t="e">
        <f>J$40-#REF!</f>
        <v>#REF!</v>
      </c>
      <c r="K41" t="e">
        <f>K$40-#REF!</f>
        <v>#REF!</v>
      </c>
      <c r="L41" t="e">
        <f>L$40-#REF!</f>
        <v>#REF!</v>
      </c>
      <c r="M41">
        <f t="shared" si="5"/>
        <v>11</v>
      </c>
      <c r="N41">
        <f t="shared" si="5"/>
        <v>12</v>
      </c>
      <c r="O41">
        <f t="shared" si="5"/>
        <v>13</v>
      </c>
      <c r="P41">
        <f t="shared" si="5"/>
        <v>14</v>
      </c>
      <c r="Q41">
        <f t="shared" si="5"/>
        <v>15</v>
      </c>
      <c r="R41">
        <f t="shared" si="5"/>
        <v>16</v>
      </c>
      <c r="S41">
        <f t="shared" si="5"/>
        <v>17</v>
      </c>
      <c r="T41">
        <f t="shared" si="5"/>
        <v>18</v>
      </c>
      <c r="U41">
        <f t="shared" si="5"/>
        <v>19</v>
      </c>
      <c r="V41">
        <f t="shared" si="5"/>
        <v>20</v>
      </c>
    </row>
    <row r="42" spans="1:22" ht="12.75">
      <c r="A42">
        <f t="shared" si="4"/>
        <v>1</v>
      </c>
      <c r="B42">
        <f aca="true" t="shared" si="6" ref="B42:B53">B$40-B10</f>
        <v>0</v>
      </c>
      <c r="C42">
        <f t="shared" si="5"/>
        <v>1</v>
      </c>
      <c r="D42">
        <f t="shared" si="5"/>
        <v>2</v>
      </c>
      <c r="E42">
        <f t="shared" si="5"/>
        <v>3</v>
      </c>
      <c r="F42">
        <f t="shared" si="5"/>
        <v>4</v>
      </c>
      <c r="G42">
        <f t="shared" si="5"/>
        <v>5</v>
      </c>
      <c r="H42">
        <f t="shared" si="5"/>
        <v>5.986480823863636</v>
      </c>
      <c r="I42">
        <f t="shared" si="5"/>
        <v>6.945610795454545</v>
      </c>
      <c r="J42">
        <f t="shared" si="5"/>
        <v>8</v>
      </c>
      <c r="K42">
        <f t="shared" si="5"/>
        <v>9</v>
      </c>
      <c r="L42">
        <f t="shared" si="5"/>
        <v>10</v>
      </c>
      <c r="M42">
        <f t="shared" si="5"/>
        <v>11</v>
      </c>
      <c r="N42">
        <f t="shared" si="5"/>
        <v>11.974273453602562</v>
      </c>
      <c r="O42">
        <f t="shared" si="5"/>
        <v>13</v>
      </c>
      <c r="P42">
        <f t="shared" si="5"/>
        <v>14</v>
      </c>
      <c r="Q42">
        <f t="shared" si="5"/>
        <v>15</v>
      </c>
      <c r="R42">
        <f t="shared" si="5"/>
        <v>16</v>
      </c>
      <c r="S42">
        <f t="shared" si="5"/>
        <v>17</v>
      </c>
      <c r="T42">
        <f t="shared" si="5"/>
        <v>18</v>
      </c>
      <c r="U42">
        <f t="shared" si="5"/>
        <v>19</v>
      </c>
      <c r="V42">
        <f t="shared" si="5"/>
        <v>20</v>
      </c>
    </row>
    <row r="43" spans="1:22" ht="12.75">
      <c r="A43">
        <f t="shared" si="4"/>
        <v>2.5</v>
      </c>
      <c r="B43">
        <f t="shared" si="6"/>
        <v>0</v>
      </c>
      <c r="C43">
        <f t="shared" si="5"/>
        <v>1</v>
      </c>
      <c r="D43">
        <f t="shared" si="5"/>
        <v>2</v>
      </c>
      <c r="E43">
        <f t="shared" si="5"/>
        <v>2.998307410037879</v>
      </c>
      <c r="F43">
        <f t="shared" si="5"/>
        <v>3.971335227272727</v>
      </c>
      <c r="G43">
        <f t="shared" si="5"/>
        <v>4.936586174242424</v>
      </c>
      <c r="H43">
        <f t="shared" si="5"/>
        <v>5.88977509469697</v>
      </c>
      <c r="I43">
        <f t="shared" si="5"/>
        <v>6.8383984375</v>
      </c>
      <c r="J43">
        <f t="shared" si="5"/>
        <v>8</v>
      </c>
      <c r="K43">
        <f t="shared" si="5"/>
        <v>9</v>
      </c>
      <c r="L43">
        <f t="shared" si="5"/>
        <v>10</v>
      </c>
      <c r="M43">
        <f t="shared" si="5"/>
        <v>11</v>
      </c>
      <c r="N43">
        <f t="shared" si="5"/>
        <v>11.86862652554176</v>
      </c>
      <c r="O43">
        <f t="shared" si="5"/>
        <v>12.94218772225719</v>
      </c>
      <c r="P43">
        <f t="shared" si="5"/>
        <v>13.994459015987424</v>
      </c>
      <c r="Q43">
        <f t="shared" si="5"/>
        <v>15</v>
      </c>
      <c r="R43">
        <f t="shared" si="5"/>
        <v>16</v>
      </c>
      <c r="S43">
        <f t="shared" si="5"/>
        <v>17</v>
      </c>
      <c r="T43">
        <f t="shared" si="5"/>
        <v>18</v>
      </c>
      <c r="U43">
        <f t="shared" si="5"/>
        <v>19</v>
      </c>
      <c r="V43">
        <f t="shared" si="5"/>
        <v>20</v>
      </c>
    </row>
    <row r="44" spans="1:22" ht="12.75">
      <c r="A44">
        <f t="shared" si="4"/>
        <v>5</v>
      </c>
      <c r="B44">
        <f t="shared" si="6"/>
        <v>0</v>
      </c>
      <c r="C44">
        <f t="shared" si="5"/>
        <v>1</v>
      </c>
      <c r="D44">
        <f t="shared" si="5"/>
        <v>2</v>
      </c>
      <c r="E44">
        <f t="shared" si="5"/>
        <v>2.984798768939394</v>
      </c>
      <c r="F44">
        <f t="shared" si="5"/>
        <v>3.8130859375</v>
      </c>
      <c r="G44">
        <f t="shared" si="5"/>
        <v>4.76002959280303</v>
      </c>
      <c r="H44">
        <f t="shared" si="5"/>
        <v>5.7034765625</v>
      </c>
      <c r="I44">
        <f t="shared" si="5"/>
        <v>6.643068181818181</v>
      </c>
      <c r="J44">
        <f t="shared" si="5"/>
        <v>8</v>
      </c>
      <c r="K44">
        <f t="shared" si="5"/>
        <v>9</v>
      </c>
      <c r="L44">
        <f t="shared" si="5"/>
        <v>10</v>
      </c>
      <c r="M44">
        <f t="shared" si="5"/>
        <v>11</v>
      </c>
      <c r="N44">
        <f t="shared" si="5"/>
        <v>11.675892121026013</v>
      </c>
      <c r="O44">
        <f t="shared" si="5"/>
        <v>12.758045787879427</v>
      </c>
      <c r="P44">
        <f t="shared" si="5"/>
        <v>13.833552828947413</v>
      </c>
      <c r="Q44">
        <f t="shared" si="5"/>
        <v>14.905803390074615</v>
      </c>
      <c r="R44">
        <f t="shared" si="5"/>
        <v>15.974799837029241</v>
      </c>
      <c r="S44">
        <f t="shared" si="5"/>
        <v>17</v>
      </c>
      <c r="T44">
        <f t="shared" si="5"/>
        <v>18</v>
      </c>
      <c r="U44">
        <f t="shared" si="5"/>
        <v>19</v>
      </c>
      <c r="V44">
        <f t="shared" si="5"/>
        <v>20</v>
      </c>
    </row>
    <row r="45" spans="1:22" ht="12.75">
      <c r="A45">
        <f t="shared" si="4"/>
        <v>7.5</v>
      </c>
      <c r="B45">
        <f t="shared" si="6"/>
        <v>0</v>
      </c>
      <c r="C45">
        <f t="shared" si="5"/>
        <v>1</v>
      </c>
      <c r="D45">
        <f t="shared" si="5"/>
        <v>2</v>
      </c>
      <c r="E45">
        <f t="shared" si="5"/>
        <v>2.923555871212121</v>
      </c>
      <c r="F45">
        <f t="shared" si="5"/>
        <v>3.624525331439394</v>
      </c>
      <c r="G45">
        <f t="shared" si="5"/>
        <v>4.5619803503787875</v>
      </c>
      <c r="H45">
        <f t="shared" si="5"/>
        <v>5.496330492424242</v>
      </c>
      <c r="I45">
        <f t="shared" si="5"/>
        <v>6.4269341856060604</v>
      </c>
      <c r="J45">
        <f t="shared" si="5"/>
        <v>8</v>
      </c>
      <c r="K45">
        <f t="shared" si="5"/>
        <v>9</v>
      </c>
      <c r="L45">
        <f t="shared" si="5"/>
        <v>10</v>
      </c>
      <c r="M45">
        <f t="shared" si="5"/>
        <v>11</v>
      </c>
      <c r="N45">
        <f t="shared" si="5"/>
        <v>11.462334224727634</v>
      </c>
      <c r="O45">
        <f t="shared" si="5"/>
        <v>12.553069715762085</v>
      </c>
      <c r="P45">
        <f t="shared" si="5"/>
        <v>13.636841568070999</v>
      </c>
      <c r="Q45">
        <f t="shared" si="5"/>
        <v>14.717356940439126</v>
      </c>
      <c r="R45">
        <f t="shared" si="5"/>
        <v>15.794637124780357</v>
      </c>
      <c r="S45">
        <f t="shared" si="5"/>
        <v>16.90986896274315</v>
      </c>
      <c r="T45">
        <f t="shared" si="5"/>
        <v>18</v>
      </c>
      <c r="U45">
        <f t="shared" si="5"/>
        <v>19</v>
      </c>
      <c r="V45">
        <f t="shared" si="5"/>
        <v>20</v>
      </c>
    </row>
    <row r="46" spans="1:22" ht="12.75">
      <c r="A46">
        <f t="shared" si="4"/>
        <v>10</v>
      </c>
      <c r="B46">
        <f t="shared" si="6"/>
        <v>0</v>
      </c>
      <c r="C46">
        <f t="shared" si="5"/>
        <v>1</v>
      </c>
      <c r="D46">
        <f t="shared" si="5"/>
        <v>2</v>
      </c>
      <c r="E46">
        <f t="shared" si="5"/>
        <v>2.809848484848485</v>
      </c>
      <c r="F46">
        <f t="shared" si="5"/>
        <v>3.415056818181818</v>
      </c>
      <c r="G46">
        <f t="shared" si="5"/>
        <v>4.343083570075757</v>
      </c>
      <c r="H46">
        <f t="shared" si="5"/>
        <v>5.268336884469697</v>
      </c>
      <c r="I46">
        <f t="shared" si="5"/>
        <v>6.189997632575758</v>
      </c>
      <c r="J46">
        <f t="shared" si="5"/>
        <v>8</v>
      </c>
      <c r="K46">
        <f t="shared" si="5"/>
        <v>9</v>
      </c>
      <c r="L46">
        <f t="shared" si="5"/>
        <v>10</v>
      </c>
      <c r="M46">
        <f t="shared" si="5"/>
        <v>11</v>
      </c>
      <c r="N46">
        <f t="shared" si="5"/>
        <v>11.227954019530724</v>
      </c>
      <c r="O46">
        <f t="shared" si="5"/>
        <v>12.32726068878927</v>
      </c>
      <c r="P46">
        <f t="shared" si="5"/>
        <v>13.419296169455006</v>
      </c>
      <c r="Q46">
        <f t="shared" si="5"/>
        <v>14.508076353064059</v>
      </c>
      <c r="R46">
        <f t="shared" si="5"/>
        <v>15.593681675735565</v>
      </c>
      <c r="S46">
        <f t="shared" si="5"/>
        <v>16.72512139170368</v>
      </c>
      <c r="T46">
        <f t="shared" si="5"/>
        <v>17.874941943777813</v>
      </c>
      <c r="U46">
        <f t="shared" si="5"/>
        <v>18.984730149089867</v>
      </c>
      <c r="V46">
        <f t="shared" si="5"/>
        <v>20</v>
      </c>
    </row>
    <row r="47" spans="1:22" ht="12.75">
      <c r="A47">
        <f t="shared" si="4"/>
        <v>15</v>
      </c>
      <c r="B47">
        <f t="shared" si="6"/>
        <v>0</v>
      </c>
      <c r="C47">
        <f t="shared" si="5"/>
        <v>1</v>
      </c>
      <c r="D47">
        <f t="shared" si="5"/>
        <v>1.9444116950757575</v>
      </c>
      <c r="E47">
        <f t="shared" si="5"/>
        <v>2.433186553030303</v>
      </c>
      <c r="F47">
        <f t="shared" si="5"/>
        <v>2.953265861742424</v>
      </c>
      <c r="G47">
        <f t="shared" si="5"/>
        <v>3.8683285984848483</v>
      </c>
      <c r="H47">
        <f t="shared" si="5"/>
        <v>4.78192471590909</v>
      </c>
      <c r="I47">
        <f t="shared" si="5"/>
        <v>5.692885890151516</v>
      </c>
      <c r="J47">
        <f t="shared" si="5"/>
        <v>8</v>
      </c>
      <c r="K47">
        <f t="shared" si="5"/>
        <v>9</v>
      </c>
      <c r="L47">
        <f t="shared" si="5"/>
        <v>10</v>
      </c>
      <c r="M47">
        <f t="shared" si="5"/>
        <v>11</v>
      </c>
      <c r="N47">
        <f t="shared" si="5"/>
        <v>10.735745297525503</v>
      </c>
      <c r="O47">
        <f t="shared" si="5"/>
        <v>11.84792529449766</v>
      </c>
      <c r="P47">
        <f t="shared" si="5"/>
        <v>12.952359766350941</v>
      </c>
      <c r="Q47">
        <f t="shared" si="5"/>
        <v>14.053537758263436</v>
      </c>
      <c r="R47">
        <f t="shared" si="5"/>
        <v>15.151972641936672</v>
      </c>
      <c r="S47">
        <f t="shared" si="5"/>
        <v>16.310740529380258</v>
      </c>
      <c r="T47">
        <f t="shared" si="5"/>
        <v>17.49746588264312</v>
      </c>
      <c r="U47">
        <f t="shared" si="5"/>
        <v>18.65409274985684</v>
      </c>
      <c r="V47">
        <f t="shared" si="5"/>
        <v>19.880431708908645</v>
      </c>
    </row>
    <row r="48" spans="1:22" ht="12.75">
      <c r="A48">
        <f t="shared" si="4"/>
        <v>18</v>
      </c>
      <c r="B48">
        <f t="shared" si="6"/>
        <v>0</v>
      </c>
      <c r="C48">
        <f t="shared" si="5"/>
        <v>1</v>
      </c>
      <c r="D48">
        <f t="shared" si="5"/>
        <v>1.8115305397727273</v>
      </c>
      <c r="E48">
        <f t="shared" si="5"/>
        <v>2.174528882575758</v>
      </c>
      <c r="F48">
        <f t="shared" si="5"/>
        <v>2.663754734848485</v>
      </c>
      <c r="G48">
        <f t="shared" si="5"/>
        <v>3.5751420454545455</v>
      </c>
      <c r="H48">
        <f t="shared" si="5"/>
        <v>4.485570549242424</v>
      </c>
      <c r="I48">
        <f t="shared" si="5"/>
        <v>5.393465909090909</v>
      </c>
      <c r="J48">
        <f t="shared" si="5"/>
        <v>8</v>
      </c>
      <c r="K48">
        <f t="shared" si="5"/>
        <v>9</v>
      </c>
      <c r="L48">
        <f t="shared" si="5"/>
        <v>10</v>
      </c>
      <c r="M48">
        <f t="shared" si="5"/>
        <v>11</v>
      </c>
      <c r="N48">
        <f t="shared" si="5"/>
        <v>10.437906908753103</v>
      </c>
      <c r="O48">
        <f t="shared" si="5"/>
        <v>11.553711262622668</v>
      </c>
      <c r="P48">
        <f t="shared" si="5"/>
        <v>12.661625779512562</v>
      </c>
      <c r="Q48">
        <f t="shared" si="5"/>
        <v>13.766275536272934</v>
      </c>
      <c r="R48">
        <f t="shared" si="5"/>
        <v>14.868701470916097</v>
      </c>
      <c r="S48">
        <f t="shared" si="5"/>
        <v>16.041173070714933</v>
      </c>
      <c r="T48">
        <f t="shared" si="5"/>
        <v>17.24906495215085</v>
      </c>
      <c r="U48">
        <f t="shared" si="5"/>
        <v>18.425274465721163</v>
      </c>
      <c r="V48">
        <f t="shared" si="5"/>
        <v>19.77160282260567</v>
      </c>
    </row>
    <row r="49" spans="1:22" ht="12.75">
      <c r="A49">
        <f t="shared" si="4"/>
        <v>20</v>
      </c>
      <c r="B49">
        <f t="shared" si="6"/>
        <v>0</v>
      </c>
      <c r="C49">
        <f t="shared" si="5"/>
        <v>0.9944405776515152</v>
      </c>
      <c r="D49">
        <f t="shared" si="5"/>
        <v>1.6842732007575758</v>
      </c>
      <c r="E49">
        <f t="shared" si="5"/>
        <v>1.9943063446969698</v>
      </c>
      <c r="F49">
        <f t="shared" si="5"/>
        <v>2.4657907196969697</v>
      </c>
      <c r="G49">
        <f t="shared" si="5"/>
        <v>3.376349431818182</v>
      </c>
      <c r="H49">
        <f t="shared" si="5"/>
        <v>4.28616240530303</v>
      </c>
      <c r="I49">
        <f t="shared" si="5"/>
        <v>5.193371212121212</v>
      </c>
      <c r="J49">
        <f t="shared" si="5"/>
        <v>8</v>
      </c>
      <c r="K49">
        <f t="shared" si="5"/>
        <v>9</v>
      </c>
      <c r="L49">
        <f t="shared" si="5"/>
        <v>10</v>
      </c>
      <c r="M49">
        <f t="shared" si="5"/>
        <v>11</v>
      </c>
      <c r="N49">
        <f t="shared" si="5"/>
        <v>10.238295216051476</v>
      </c>
      <c r="O49">
        <f t="shared" si="5"/>
        <v>11.35482112922503</v>
      </c>
      <c r="P49">
        <f t="shared" si="5"/>
        <v>12.463398061213667</v>
      </c>
      <c r="Q49">
        <f t="shared" si="5"/>
        <v>13.568710233072782</v>
      </c>
      <c r="R49">
        <f t="shared" si="5"/>
        <v>14.67224807877455</v>
      </c>
      <c r="S49">
        <f t="shared" si="5"/>
        <v>15.853154825125415</v>
      </c>
      <c r="T49">
        <f t="shared" si="5"/>
        <v>17.075131307598358</v>
      </c>
      <c r="U49">
        <f t="shared" si="5"/>
        <v>18.264958182984266</v>
      </c>
      <c r="V49">
        <f t="shared" si="5"/>
        <v>19.696025991375492</v>
      </c>
    </row>
    <row r="50" spans="1:22" ht="12.75">
      <c r="A50">
        <f t="shared" si="4"/>
        <v>25</v>
      </c>
      <c r="B50">
        <f t="shared" si="6"/>
        <v>0</v>
      </c>
      <c r="C50">
        <f t="shared" si="5"/>
        <v>0.8431202651515152</v>
      </c>
      <c r="D50">
        <f t="shared" si="5"/>
        <v>1.292265625</v>
      </c>
      <c r="E50">
        <f t="shared" si="5"/>
        <v>1.5253669507575758</v>
      </c>
      <c r="F50">
        <f t="shared" si="5"/>
        <v>1.9659564393939397</v>
      </c>
      <c r="G50">
        <f t="shared" si="5"/>
        <v>2.8760061553030303</v>
      </c>
      <c r="H50">
        <f t="shared" si="5"/>
        <v>3.7858309659090907</v>
      </c>
      <c r="I50">
        <f t="shared" si="5"/>
        <v>4.692672821969698</v>
      </c>
      <c r="J50">
        <f t="shared" si="5"/>
        <v>8</v>
      </c>
      <c r="K50">
        <f t="shared" si="5"/>
        <v>9</v>
      </c>
      <c r="L50">
        <f t="shared" si="5"/>
        <v>10</v>
      </c>
      <c r="M50">
        <f t="shared" si="5"/>
        <v>11</v>
      </c>
      <c r="N50">
        <f t="shared" si="5"/>
        <v>9.738207303023525</v>
      </c>
      <c r="O50">
        <f t="shared" si="5"/>
        <v>10.85483967576652</v>
      </c>
      <c r="P50">
        <f t="shared" si="5"/>
        <v>11.963416607755157</v>
      </c>
      <c r="Q50">
        <f t="shared" si="5"/>
        <v>13.068728779614272</v>
      </c>
      <c r="R50">
        <f t="shared" si="5"/>
        <v>14.173414022897791</v>
      </c>
      <c r="S50">
        <f t="shared" si="5"/>
        <v>15.37300205791732</v>
      </c>
      <c r="T50">
        <f t="shared" si="5"/>
        <v>16.627227509742113</v>
      </c>
      <c r="U50">
        <f t="shared" si="5"/>
        <v>17.848370058921102</v>
      </c>
      <c r="V50">
        <f t="shared" si="5"/>
        <v>19.498213465397416</v>
      </c>
    </row>
    <row r="51" spans="1:22" ht="12.75">
      <c r="A51">
        <f t="shared" si="4"/>
        <v>30</v>
      </c>
      <c r="B51">
        <f t="shared" si="6"/>
        <v>-0.05635298295454545</v>
      </c>
      <c r="C51">
        <f t="shared" si="5"/>
        <v>0.5019744318181818</v>
      </c>
      <c r="D51">
        <f t="shared" si="5"/>
        <v>0.8680752840909092</v>
      </c>
      <c r="E51">
        <f t="shared" si="5"/>
        <v>1.0534682765151517</v>
      </c>
      <c r="F51">
        <f t="shared" si="5"/>
        <v>1.4661103219696972</v>
      </c>
      <c r="G51">
        <f t="shared" si="5"/>
        <v>2.3756747159090907</v>
      </c>
      <c r="H51">
        <f t="shared" si="5"/>
        <v>3.2854876893939395</v>
      </c>
      <c r="I51">
        <f t="shared" si="5"/>
        <v>4.191974431818181</v>
      </c>
      <c r="J51">
        <f t="shared" si="5"/>
        <v>8</v>
      </c>
      <c r="K51">
        <f t="shared" si="5"/>
        <v>9</v>
      </c>
      <c r="L51">
        <f t="shared" si="5"/>
        <v>10</v>
      </c>
      <c r="M51">
        <f t="shared" si="5"/>
        <v>11</v>
      </c>
      <c r="N51">
        <f t="shared" si="5"/>
        <v>9.238131218836624</v>
      </c>
      <c r="O51">
        <f t="shared" si="5"/>
        <v>10.354846393466962</v>
      </c>
      <c r="P51">
        <f t="shared" si="5"/>
        <v>11.463435154296647</v>
      </c>
      <c r="Q51">
        <f t="shared" si="5"/>
        <v>12.568759154996812</v>
      </c>
      <c r="R51">
        <f t="shared" si="5"/>
        <v>13.674331561359006</v>
      </c>
      <c r="S51">
        <f t="shared" si="5"/>
        <v>14.88923794553697</v>
      </c>
      <c r="T51">
        <f t="shared" si="5"/>
        <v>16.169865370583096</v>
      </c>
      <c r="U51">
        <f t="shared" si="5"/>
        <v>17.41663865254703</v>
      </c>
      <c r="V51">
        <f t="shared" si="5"/>
        <v>19.29098399906024</v>
      </c>
    </row>
    <row r="52" spans="1:22" ht="12.75">
      <c r="A52">
        <f t="shared" si="4"/>
        <v>35</v>
      </c>
      <c r="B52">
        <f t="shared" si="6"/>
        <v>-0.27671046401515154</v>
      </c>
      <c r="C52">
        <f t="shared" si="5"/>
        <v>0.12123579545454544</v>
      </c>
      <c r="D52">
        <f t="shared" si="5"/>
        <v>0.44227035984848473</v>
      </c>
      <c r="E52">
        <f t="shared" si="5"/>
        <v>0.5810724431818182</v>
      </c>
      <c r="F52">
        <f t="shared" si="5"/>
        <v>0.9662405303030304</v>
      </c>
      <c r="G52">
        <f t="shared" si="5"/>
        <v>1.8753432765151516</v>
      </c>
      <c r="H52">
        <f t="shared" si="5"/>
        <v>2.785144412878788</v>
      </c>
      <c r="I52">
        <f t="shared" si="5"/>
        <v>3.691276041666667</v>
      </c>
      <c r="J52">
        <f t="shared" si="5"/>
        <v>8</v>
      </c>
      <c r="K52">
        <f t="shared" si="5"/>
        <v>9</v>
      </c>
      <c r="L52">
        <f t="shared" si="5"/>
        <v>10</v>
      </c>
      <c r="M52">
        <f t="shared" si="5"/>
        <v>11</v>
      </c>
      <c r="N52">
        <f t="shared" si="5"/>
        <v>8.738043305808674</v>
      </c>
      <c r="O52">
        <f t="shared" si="5"/>
        <v>9.854864940008452</v>
      </c>
      <c r="P52">
        <f t="shared" si="5"/>
        <v>10.963453700838137</v>
      </c>
      <c r="Q52">
        <f t="shared" si="5"/>
        <v>12.068777701538302</v>
      </c>
      <c r="R52">
        <f t="shared" si="5"/>
        <v>13.17501252299924</v>
      </c>
      <c r="S52">
        <f t="shared" si="5"/>
        <v>14.40186603663668</v>
      </c>
      <c r="T52">
        <f t="shared" si="5"/>
        <v>15.703028329743844</v>
      </c>
      <c r="U52">
        <f t="shared" si="5"/>
        <v>16.969745037716365</v>
      </c>
      <c r="V52">
        <f t="shared" si="5"/>
        <v>19.07433759236397</v>
      </c>
    </row>
    <row r="53" spans="1:22" ht="12.75">
      <c r="A53">
        <f t="shared" si="4"/>
        <v>40</v>
      </c>
      <c r="B53">
        <f t="shared" si="6"/>
        <v>-0.5003314393939394</v>
      </c>
      <c r="C53">
        <f t="shared" si="5"/>
        <v>-0.2638967803030303</v>
      </c>
      <c r="D53">
        <f t="shared" si="5"/>
        <v>0.013813920454545325</v>
      </c>
      <c r="E53">
        <f t="shared" si="5"/>
        <v>0.10767045454545476</v>
      </c>
      <c r="F53">
        <f t="shared" si="5"/>
        <v>0.4662997159090909</v>
      </c>
      <c r="G53">
        <f t="shared" si="5"/>
        <v>1.375</v>
      </c>
      <c r="H53">
        <f t="shared" si="5"/>
        <v>2.2848011363636367</v>
      </c>
      <c r="I53">
        <f t="shared" si="5"/>
        <v>3.1905658143939393</v>
      </c>
      <c r="J53">
        <f t="shared" si="5"/>
        <v>8</v>
      </c>
      <c r="K53">
        <f t="shared" si="5"/>
        <v>9</v>
      </c>
      <c r="L53">
        <f t="shared" si="5"/>
        <v>10</v>
      </c>
      <c r="M53">
        <f t="shared" si="5"/>
        <v>11</v>
      </c>
      <c r="N53">
        <f t="shared" si="5"/>
        <v>8.237967221621773</v>
      </c>
      <c r="O53">
        <f t="shared" si="5"/>
        <v>9.354871657708895</v>
      </c>
      <c r="P53">
        <f t="shared" si="5"/>
        <v>10.463472247379627</v>
      </c>
      <c r="Q53">
        <f t="shared" si="5"/>
        <v>11.568808076920842</v>
      </c>
      <c r="R53">
        <f>R$40-R21</f>
        <v>12.675456907818493</v>
      </c>
      <c r="S53">
        <f>S$40-S21</f>
        <v>13.910886331216446</v>
      </c>
      <c r="T53">
        <f>T$40-T21</f>
        <v>15.226716387224354</v>
      </c>
      <c r="U53">
        <f>U$40-U21</f>
        <v>16.50772233518405</v>
      </c>
      <c r="V53">
        <f>V$40-V21</f>
        <v>18.848274245308605</v>
      </c>
    </row>
    <row r="56" ht="12.75">
      <c r="B56" t="s">
        <v>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P56" sqref="P56"/>
    </sheetView>
  </sheetViews>
  <sheetFormatPr defaultColWidth="9.140625" defaultRowHeight="12.75"/>
  <sheetData>
    <row r="1" spans="1:21" ht="12.7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7"/>
      <c r="L1" s="1"/>
      <c r="O1" s="1"/>
      <c r="P1" s="1"/>
      <c r="Q1" s="1" t="s">
        <v>90</v>
      </c>
      <c r="R1" s="1"/>
      <c r="S1" s="1"/>
      <c r="T1" s="1"/>
      <c r="U1" s="1"/>
    </row>
    <row r="2" spans="1:21" ht="12.75">
      <c r="A2" s="1" t="s">
        <v>0</v>
      </c>
      <c r="B2" s="1"/>
      <c r="C2" s="1">
        <f>LBP</f>
        <v>0</v>
      </c>
      <c r="D2" s="1"/>
      <c r="E2" s="1"/>
      <c r="F2" s="1"/>
      <c r="G2" s="1"/>
      <c r="H2" s="1"/>
      <c r="I2" s="1"/>
      <c r="J2" s="1"/>
      <c r="K2" s="17"/>
      <c r="L2" s="1"/>
      <c r="O2" s="1"/>
      <c r="P2" s="1"/>
      <c r="Q2" s="1"/>
      <c r="R2" s="18" t="s">
        <v>14</v>
      </c>
      <c r="S2" s="18"/>
      <c r="T2" s="18" t="s">
        <v>122</v>
      </c>
      <c r="U2" s="1"/>
    </row>
    <row r="3" spans="1:21" ht="12.75">
      <c r="A3" s="1" t="s">
        <v>125</v>
      </c>
      <c r="B3" s="1"/>
      <c r="C3" s="1">
        <f>1.1*SQRT(LBP)</f>
        <v>0</v>
      </c>
      <c r="D3" s="1" t="s">
        <v>136</v>
      </c>
      <c r="E3" s="1"/>
      <c r="F3" s="1"/>
      <c r="G3" s="1"/>
      <c r="H3" s="1"/>
      <c r="I3" s="1"/>
      <c r="J3" s="1"/>
      <c r="K3" s="17"/>
      <c r="L3" s="1"/>
      <c r="M3" s="1"/>
      <c r="O3" s="1"/>
      <c r="P3" s="1"/>
      <c r="Q3" s="1" t="s">
        <v>81</v>
      </c>
      <c r="R3" s="1">
        <f>mean_draft_hogging</f>
        <v>26.87</v>
      </c>
      <c r="S3" s="1"/>
      <c r="T3" s="1">
        <f>mean_draft_still</f>
        <v>24.983</v>
      </c>
      <c r="U3" s="1"/>
    </row>
    <row r="4" spans="1:21" ht="12.75">
      <c r="A4" s="1"/>
      <c r="B4" s="1"/>
      <c r="C4" s="1"/>
      <c r="D4" s="1"/>
      <c r="E4" s="1"/>
      <c r="F4" s="1"/>
      <c r="G4" s="1"/>
      <c r="H4" s="18" t="s">
        <v>128</v>
      </c>
      <c r="I4" s="1"/>
      <c r="J4" s="1"/>
      <c r="K4" s="1"/>
      <c r="L4" s="1"/>
      <c r="M4" s="1"/>
      <c r="N4" s="1"/>
      <c r="O4" s="1"/>
      <c r="P4" s="1"/>
      <c r="Q4" s="1" t="s">
        <v>82</v>
      </c>
      <c r="R4" s="1">
        <f>trim_angle_hogging</f>
        <v>0</v>
      </c>
      <c r="S4" s="1"/>
      <c r="T4" s="1">
        <f>trim_angle_still</f>
        <v>0</v>
      </c>
      <c r="U4" s="1"/>
    </row>
    <row r="5" spans="1:21" ht="12.75">
      <c r="A5" s="1"/>
      <c r="B5" s="1" t="s">
        <v>112</v>
      </c>
      <c r="C5" s="1"/>
      <c r="D5" s="1" t="s">
        <v>114</v>
      </c>
      <c r="E5" s="1"/>
      <c r="F5" s="1"/>
      <c r="G5" s="1"/>
      <c r="H5" s="1" t="s">
        <v>115</v>
      </c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84</v>
      </c>
      <c r="T5" s="1"/>
      <c r="U5" s="1"/>
    </row>
    <row r="6" spans="1:21" ht="12.75">
      <c r="A6" s="1" t="s">
        <v>120</v>
      </c>
      <c r="B6" s="1" t="s">
        <v>116</v>
      </c>
      <c r="C6" s="1" t="s">
        <v>117</v>
      </c>
      <c r="D6" s="19" t="s">
        <v>118</v>
      </c>
      <c r="E6" s="1" t="s">
        <v>119</v>
      </c>
      <c r="F6" s="1" t="s">
        <v>113</v>
      </c>
      <c r="G6" s="1"/>
      <c r="H6" s="1" t="s">
        <v>73</v>
      </c>
      <c r="I6" s="1" t="s">
        <v>74</v>
      </c>
      <c r="J6" s="1" t="s">
        <v>75</v>
      </c>
      <c r="K6" s="1" t="s">
        <v>76</v>
      </c>
      <c r="L6" s="1" t="s">
        <v>77</v>
      </c>
      <c r="M6" s="1" t="s">
        <v>78</v>
      </c>
      <c r="N6" s="1" t="s">
        <v>79</v>
      </c>
      <c r="O6" s="1" t="s">
        <v>80</v>
      </c>
      <c r="P6" s="1" t="s">
        <v>111</v>
      </c>
      <c r="Q6" s="1" t="s">
        <v>123</v>
      </c>
      <c r="R6" s="1" t="s">
        <v>83</v>
      </c>
      <c r="S6" s="1"/>
      <c r="T6" s="1" t="s">
        <v>89</v>
      </c>
      <c r="U6" s="1"/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0</v>
      </c>
      <c r="F7" s="1">
        <f aca="true" t="shared" si="1" ref="F7:F43">LBP*A7/(360)</f>
        <v>0</v>
      </c>
      <c r="G7" s="1"/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37</v>
      </c>
      <c r="K7" s="1">
        <f>INDEX(x_array_hogging,J7)</f>
        <v>0</v>
      </c>
      <c r="L7" s="1">
        <f>IF(I7&lt;LBP,INDEX(x_array_hogging,J7+1),K7)</f>
        <v>0</v>
      </c>
      <c r="M7" s="1">
        <f>INDEX(phi_array,J7)</f>
        <v>360</v>
      </c>
      <c r="N7" s="1">
        <f>IF(K7&lt;LBP,INDEX(phi_array,J7+1),M7)</f>
        <v>360</v>
      </c>
      <c r="O7" s="1">
        <f aca="true" t="shared" si="4" ref="O7:O26">IF(I7&lt;LBP,(I7-K7)/(L7-K7)*(N7-M7)+M7,M7)</f>
        <v>360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 aca="true" t="shared" si="6" ref="R7:R27">(Q7-htwave/2)+mean_draft_hogging+(LBP/2-P7)*TAN(RADIANS(trim_angle_hogging))</f>
        <v>26.87</v>
      </c>
      <c r="S7" s="1"/>
      <c r="T7" s="1">
        <f aca="true" t="shared" si="7" ref="T7:T27">mean_draft_still+(LBP/2-I7)*TAN(RADIANS(trim_angle_still))</f>
        <v>24.983</v>
      </c>
      <c r="U7" s="1"/>
    </row>
    <row r="8" spans="1:21" ht="12.75">
      <c r="A8" s="1">
        <v>10</v>
      </c>
      <c r="B8" s="1">
        <f t="shared" si="0"/>
        <v>0</v>
      </c>
      <c r="C8" s="1">
        <f aca="true" t="shared" si="8" ref="C8:C43">htwave*(1-COS(RADIANS(A8)))/2</f>
        <v>0</v>
      </c>
      <c r="D8" s="1">
        <f aca="true" t="shared" si="9" ref="D8:D43">LBP/360*A8-htwave*SIN(RADIANS(A8))</f>
        <v>0</v>
      </c>
      <c r="E8" s="1">
        <f aca="true" t="shared" si="10" ref="E8:E43">htwave*(1+COS(RADIANS(A8)))/2</f>
        <v>0</v>
      </c>
      <c r="F8" s="1">
        <f t="shared" si="1"/>
        <v>0</v>
      </c>
      <c r="G8" s="1"/>
      <c r="H8" s="1">
        <v>1</v>
      </c>
      <c r="I8" s="1">
        <f t="shared" si="2"/>
        <v>0</v>
      </c>
      <c r="J8" s="1">
        <f t="shared" si="3"/>
        <v>37</v>
      </c>
      <c r="K8" s="1">
        <f aca="true" t="shared" si="11" ref="K8:K27">INDEX(x_array_hogging,J8)</f>
        <v>0</v>
      </c>
      <c r="L8" s="1">
        <f aca="true" t="shared" si="12" ref="L8:L26">IF(I8&lt;LBP,INDEX(x_array_hogging,J8+1),K8)</f>
        <v>0</v>
      </c>
      <c r="M8" s="1">
        <f aca="true" t="shared" si="13" ref="M8:M27">INDEX(phi_array,J8)</f>
        <v>360</v>
      </c>
      <c r="N8" s="1">
        <f aca="true" t="shared" si="14" ref="N8:N27">IF(K8&lt;LBP,INDEX(phi_array,J8+1),M8)</f>
        <v>360</v>
      </c>
      <c r="O8" s="1">
        <f t="shared" si="4"/>
        <v>360</v>
      </c>
      <c r="P8" s="1">
        <f t="shared" si="5"/>
        <v>0</v>
      </c>
      <c r="Q8" s="1">
        <f>htwave*(1-COS(RADIANS(O8)))/2</f>
        <v>0</v>
      </c>
      <c r="R8" s="1">
        <f t="shared" si="6"/>
        <v>26.87</v>
      </c>
      <c r="S8" s="1"/>
      <c r="T8" s="1">
        <f t="shared" si="7"/>
        <v>24.983</v>
      </c>
      <c r="U8" s="1"/>
    </row>
    <row r="9" spans="1:21" ht="12.75">
      <c r="A9" s="1">
        <v>20</v>
      </c>
      <c r="B9" s="1">
        <f t="shared" si="0"/>
        <v>0</v>
      </c>
      <c r="C9" s="1">
        <f t="shared" si="8"/>
        <v>0</v>
      </c>
      <c r="D9" s="1">
        <f t="shared" si="9"/>
        <v>0</v>
      </c>
      <c r="E9" s="1">
        <f t="shared" si="10"/>
        <v>0</v>
      </c>
      <c r="F9" s="1">
        <f t="shared" si="1"/>
        <v>0</v>
      </c>
      <c r="G9" s="1"/>
      <c r="H9" s="1">
        <v>2</v>
      </c>
      <c r="I9" s="1">
        <f t="shared" si="2"/>
        <v>0</v>
      </c>
      <c r="J9" s="1">
        <f t="shared" si="3"/>
        <v>37</v>
      </c>
      <c r="K9" s="1">
        <f t="shared" si="11"/>
        <v>0</v>
      </c>
      <c r="L9" s="1">
        <f t="shared" si="12"/>
        <v>0</v>
      </c>
      <c r="M9" s="1">
        <f t="shared" si="13"/>
        <v>360</v>
      </c>
      <c r="N9" s="1">
        <f t="shared" si="14"/>
        <v>360</v>
      </c>
      <c r="O9" s="1">
        <f t="shared" si="4"/>
        <v>360</v>
      </c>
      <c r="P9" s="1">
        <f t="shared" si="5"/>
        <v>0</v>
      </c>
      <c r="Q9" s="1">
        <f aca="true" t="shared" si="15" ref="Q9:Q27">htwave*(1-COS(RADIANS(O9)))/2</f>
        <v>0</v>
      </c>
      <c r="R9" s="1">
        <f t="shared" si="6"/>
        <v>26.87</v>
      </c>
      <c r="S9" s="1"/>
      <c r="T9" s="1">
        <f t="shared" si="7"/>
        <v>24.983</v>
      </c>
      <c r="U9" s="1"/>
    </row>
    <row r="10" spans="1:21" ht="12.75">
      <c r="A10" s="1">
        <v>30</v>
      </c>
      <c r="B10" s="1">
        <f t="shared" si="0"/>
        <v>0</v>
      </c>
      <c r="C10" s="1">
        <f t="shared" si="8"/>
        <v>0</v>
      </c>
      <c r="D10" s="1">
        <f t="shared" si="9"/>
        <v>0</v>
      </c>
      <c r="E10" s="1">
        <f t="shared" si="10"/>
        <v>0</v>
      </c>
      <c r="F10" s="1">
        <f t="shared" si="1"/>
        <v>0</v>
      </c>
      <c r="G10" s="1"/>
      <c r="H10" s="1">
        <v>3</v>
      </c>
      <c r="I10" s="1">
        <f t="shared" si="2"/>
        <v>0</v>
      </c>
      <c r="J10" s="1">
        <f t="shared" si="3"/>
        <v>37</v>
      </c>
      <c r="K10" s="1">
        <f t="shared" si="11"/>
        <v>0</v>
      </c>
      <c r="L10" s="1">
        <f t="shared" si="12"/>
        <v>0</v>
      </c>
      <c r="M10" s="1">
        <f t="shared" si="13"/>
        <v>360</v>
      </c>
      <c r="N10" s="1">
        <f t="shared" si="14"/>
        <v>360</v>
      </c>
      <c r="O10" s="1">
        <f t="shared" si="4"/>
        <v>360</v>
      </c>
      <c r="P10" s="1">
        <f t="shared" si="5"/>
        <v>0</v>
      </c>
      <c r="Q10" s="1">
        <f t="shared" si="15"/>
        <v>0</v>
      </c>
      <c r="R10" s="1">
        <f t="shared" si="6"/>
        <v>26.87</v>
      </c>
      <c r="S10" s="1"/>
      <c r="T10" s="1">
        <f t="shared" si="7"/>
        <v>24.983</v>
      </c>
      <c r="U10" s="1"/>
    </row>
    <row r="11" spans="1:21" ht="12.75">
      <c r="A11" s="1">
        <v>40</v>
      </c>
      <c r="B11" s="1">
        <f t="shared" si="0"/>
        <v>0</v>
      </c>
      <c r="C11" s="1">
        <f t="shared" si="8"/>
        <v>0</v>
      </c>
      <c r="D11" s="1">
        <f t="shared" si="9"/>
        <v>0</v>
      </c>
      <c r="E11" s="1">
        <f t="shared" si="10"/>
        <v>0</v>
      </c>
      <c r="F11" s="1">
        <f t="shared" si="1"/>
        <v>0</v>
      </c>
      <c r="G11" s="1"/>
      <c r="H11" s="1">
        <v>4</v>
      </c>
      <c r="I11" s="1">
        <f t="shared" si="2"/>
        <v>0</v>
      </c>
      <c r="J11" s="1">
        <f t="shared" si="3"/>
        <v>37</v>
      </c>
      <c r="K11" s="1">
        <f t="shared" si="11"/>
        <v>0</v>
      </c>
      <c r="L11" s="1">
        <f t="shared" si="12"/>
        <v>0</v>
      </c>
      <c r="M11" s="1">
        <f t="shared" si="13"/>
        <v>360</v>
      </c>
      <c r="N11" s="1">
        <f t="shared" si="14"/>
        <v>360</v>
      </c>
      <c r="O11" s="1">
        <f t="shared" si="4"/>
        <v>360</v>
      </c>
      <c r="P11" s="1">
        <f t="shared" si="5"/>
        <v>0</v>
      </c>
      <c r="Q11" s="1">
        <f t="shared" si="15"/>
        <v>0</v>
      </c>
      <c r="R11" s="1">
        <f t="shared" si="6"/>
        <v>26.87</v>
      </c>
      <c r="S11" s="1"/>
      <c r="T11" s="1">
        <f t="shared" si="7"/>
        <v>24.983</v>
      </c>
      <c r="U11" s="1"/>
    </row>
    <row r="12" spans="1:21" ht="12.75">
      <c r="A12" s="1">
        <v>50</v>
      </c>
      <c r="B12" s="1">
        <f t="shared" si="0"/>
        <v>0</v>
      </c>
      <c r="C12" s="1">
        <f t="shared" si="8"/>
        <v>0</v>
      </c>
      <c r="D12" s="1">
        <f t="shared" si="9"/>
        <v>0</v>
      </c>
      <c r="E12" s="1">
        <f t="shared" si="10"/>
        <v>0</v>
      </c>
      <c r="F12" s="1">
        <f t="shared" si="1"/>
        <v>0</v>
      </c>
      <c r="G12" s="1"/>
      <c r="H12" s="1">
        <v>5</v>
      </c>
      <c r="I12" s="1">
        <f t="shared" si="2"/>
        <v>0</v>
      </c>
      <c r="J12" s="1">
        <f t="shared" si="3"/>
        <v>37</v>
      </c>
      <c r="K12" s="1">
        <f t="shared" si="11"/>
        <v>0</v>
      </c>
      <c r="L12" s="1">
        <f t="shared" si="12"/>
        <v>0</v>
      </c>
      <c r="M12" s="1">
        <f t="shared" si="13"/>
        <v>360</v>
      </c>
      <c r="N12" s="1">
        <f t="shared" si="14"/>
        <v>360</v>
      </c>
      <c r="O12" s="1">
        <f t="shared" si="4"/>
        <v>360</v>
      </c>
      <c r="P12" s="1">
        <f t="shared" si="5"/>
        <v>0</v>
      </c>
      <c r="Q12" s="1">
        <f t="shared" si="15"/>
        <v>0</v>
      </c>
      <c r="R12" s="1">
        <f t="shared" si="6"/>
        <v>26.87</v>
      </c>
      <c r="S12" s="1"/>
      <c r="T12" s="1">
        <f t="shared" si="7"/>
        <v>24.983</v>
      </c>
      <c r="U12" s="1"/>
    </row>
    <row r="13" spans="1:21" ht="12.75">
      <c r="A13" s="1">
        <v>60</v>
      </c>
      <c r="B13" s="1">
        <f t="shared" si="0"/>
        <v>0</v>
      </c>
      <c r="C13" s="1">
        <f t="shared" si="8"/>
        <v>0</v>
      </c>
      <c r="D13" s="1">
        <f t="shared" si="9"/>
        <v>0</v>
      </c>
      <c r="E13" s="1">
        <f t="shared" si="10"/>
        <v>0</v>
      </c>
      <c r="F13" s="1">
        <f t="shared" si="1"/>
        <v>0</v>
      </c>
      <c r="G13" s="1"/>
      <c r="H13" s="1">
        <v>6</v>
      </c>
      <c r="I13" s="1">
        <f t="shared" si="2"/>
        <v>0</v>
      </c>
      <c r="J13" s="1">
        <f t="shared" si="3"/>
        <v>37</v>
      </c>
      <c r="K13" s="1">
        <f t="shared" si="11"/>
        <v>0</v>
      </c>
      <c r="L13" s="1">
        <f t="shared" si="12"/>
        <v>0</v>
      </c>
      <c r="M13" s="1">
        <f t="shared" si="13"/>
        <v>360</v>
      </c>
      <c r="N13" s="1">
        <f t="shared" si="14"/>
        <v>360</v>
      </c>
      <c r="O13" s="1">
        <f t="shared" si="4"/>
        <v>360</v>
      </c>
      <c r="P13" s="1">
        <f t="shared" si="5"/>
        <v>0</v>
      </c>
      <c r="Q13" s="1">
        <f t="shared" si="15"/>
        <v>0</v>
      </c>
      <c r="R13" s="1">
        <f t="shared" si="6"/>
        <v>26.87</v>
      </c>
      <c r="S13" s="1"/>
      <c r="T13" s="1">
        <f t="shared" si="7"/>
        <v>24.983</v>
      </c>
      <c r="U13" s="1"/>
    </row>
    <row r="14" spans="1:21" ht="12.75">
      <c r="A14" s="1">
        <v>70</v>
      </c>
      <c r="B14" s="1">
        <f t="shared" si="0"/>
        <v>0</v>
      </c>
      <c r="C14" s="1">
        <f t="shared" si="8"/>
        <v>0</v>
      </c>
      <c r="D14" s="1">
        <f t="shared" si="9"/>
        <v>0</v>
      </c>
      <c r="E14" s="1">
        <f t="shared" si="10"/>
        <v>0</v>
      </c>
      <c r="F14" s="1">
        <f t="shared" si="1"/>
        <v>0</v>
      </c>
      <c r="G14" s="1"/>
      <c r="H14" s="1">
        <v>7</v>
      </c>
      <c r="I14" s="1">
        <f t="shared" si="2"/>
        <v>0</v>
      </c>
      <c r="J14" s="1">
        <f t="shared" si="3"/>
        <v>37</v>
      </c>
      <c r="K14" s="1">
        <f t="shared" si="11"/>
        <v>0</v>
      </c>
      <c r="L14" s="1">
        <f t="shared" si="12"/>
        <v>0</v>
      </c>
      <c r="M14" s="1">
        <f t="shared" si="13"/>
        <v>360</v>
      </c>
      <c r="N14" s="1">
        <f t="shared" si="14"/>
        <v>360</v>
      </c>
      <c r="O14" s="1">
        <f t="shared" si="4"/>
        <v>360</v>
      </c>
      <c r="P14" s="1">
        <f t="shared" si="5"/>
        <v>0</v>
      </c>
      <c r="Q14" s="1">
        <f t="shared" si="15"/>
        <v>0</v>
      </c>
      <c r="R14" s="1">
        <f t="shared" si="6"/>
        <v>26.87</v>
      </c>
      <c r="S14" s="1"/>
      <c r="T14" s="1">
        <f t="shared" si="7"/>
        <v>24.983</v>
      </c>
      <c r="U14" s="1"/>
    </row>
    <row r="15" spans="1:21" ht="12.75">
      <c r="A15" s="1">
        <v>80</v>
      </c>
      <c r="B15" s="1">
        <f t="shared" si="0"/>
        <v>0</v>
      </c>
      <c r="C15" s="1">
        <f t="shared" si="8"/>
        <v>0</v>
      </c>
      <c r="D15" s="1">
        <f t="shared" si="9"/>
        <v>0</v>
      </c>
      <c r="E15" s="1">
        <f t="shared" si="10"/>
        <v>0</v>
      </c>
      <c r="F15" s="1">
        <f t="shared" si="1"/>
        <v>0</v>
      </c>
      <c r="G15" s="1"/>
      <c r="H15" s="1">
        <v>8</v>
      </c>
      <c r="I15" s="1">
        <f t="shared" si="2"/>
        <v>0</v>
      </c>
      <c r="J15" s="1">
        <f t="shared" si="3"/>
        <v>37</v>
      </c>
      <c r="K15" s="1">
        <f t="shared" si="11"/>
        <v>0</v>
      </c>
      <c r="L15" s="1">
        <f t="shared" si="12"/>
        <v>0</v>
      </c>
      <c r="M15" s="1">
        <f t="shared" si="13"/>
        <v>360</v>
      </c>
      <c r="N15" s="1">
        <f t="shared" si="14"/>
        <v>360</v>
      </c>
      <c r="O15" s="1">
        <f t="shared" si="4"/>
        <v>360</v>
      </c>
      <c r="P15" s="1">
        <f t="shared" si="5"/>
        <v>0</v>
      </c>
      <c r="Q15" s="1">
        <f t="shared" si="15"/>
        <v>0</v>
      </c>
      <c r="R15" s="1">
        <f t="shared" si="6"/>
        <v>26.87</v>
      </c>
      <c r="S15" s="1"/>
      <c r="T15" s="1">
        <f t="shared" si="7"/>
        <v>24.983</v>
      </c>
      <c r="U15" s="1"/>
    </row>
    <row r="16" spans="1:21" ht="12.75">
      <c r="A16" s="1">
        <v>90</v>
      </c>
      <c r="B16" s="1">
        <f t="shared" si="0"/>
        <v>0</v>
      </c>
      <c r="C16" s="1">
        <f t="shared" si="8"/>
        <v>0</v>
      </c>
      <c r="D16" s="1">
        <f t="shared" si="9"/>
        <v>0</v>
      </c>
      <c r="E16" s="1">
        <f t="shared" si="10"/>
        <v>0</v>
      </c>
      <c r="F16" s="1">
        <f t="shared" si="1"/>
        <v>0</v>
      </c>
      <c r="G16" s="1"/>
      <c r="H16" s="1">
        <v>9</v>
      </c>
      <c r="I16" s="1">
        <f t="shared" si="2"/>
        <v>0</v>
      </c>
      <c r="J16" s="1">
        <f t="shared" si="3"/>
        <v>37</v>
      </c>
      <c r="K16" s="1">
        <f t="shared" si="11"/>
        <v>0</v>
      </c>
      <c r="L16" s="1">
        <f t="shared" si="12"/>
        <v>0</v>
      </c>
      <c r="M16" s="1">
        <f t="shared" si="13"/>
        <v>360</v>
      </c>
      <c r="N16" s="1">
        <f t="shared" si="14"/>
        <v>360</v>
      </c>
      <c r="O16" s="1">
        <f t="shared" si="4"/>
        <v>360</v>
      </c>
      <c r="P16" s="1">
        <f t="shared" si="5"/>
        <v>0</v>
      </c>
      <c r="Q16" s="1">
        <f t="shared" si="15"/>
        <v>0</v>
      </c>
      <c r="R16" s="1">
        <f t="shared" si="6"/>
        <v>26.87</v>
      </c>
      <c r="S16" s="1"/>
      <c r="T16" s="1">
        <f t="shared" si="7"/>
        <v>24.983</v>
      </c>
      <c r="U16" s="1"/>
    </row>
    <row r="17" spans="1:21" ht="12.75">
      <c r="A17" s="1">
        <v>100</v>
      </c>
      <c r="B17" s="1">
        <f t="shared" si="0"/>
        <v>0</v>
      </c>
      <c r="C17" s="1">
        <f t="shared" si="8"/>
        <v>0</v>
      </c>
      <c r="D17" s="1">
        <f t="shared" si="9"/>
        <v>0</v>
      </c>
      <c r="E17" s="1">
        <f t="shared" si="10"/>
        <v>0</v>
      </c>
      <c r="F17" s="1">
        <f t="shared" si="1"/>
        <v>0</v>
      </c>
      <c r="G17" s="1"/>
      <c r="H17" s="1">
        <v>10</v>
      </c>
      <c r="I17" s="1">
        <f t="shared" si="2"/>
        <v>0</v>
      </c>
      <c r="J17" s="1">
        <f t="shared" si="3"/>
        <v>37</v>
      </c>
      <c r="K17" s="1">
        <f t="shared" si="11"/>
        <v>0</v>
      </c>
      <c r="L17" s="1">
        <f t="shared" si="12"/>
        <v>0</v>
      </c>
      <c r="M17" s="1">
        <f t="shared" si="13"/>
        <v>360</v>
      </c>
      <c r="N17" s="1">
        <f t="shared" si="14"/>
        <v>360</v>
      </c>
      <c r="O17" s="1">
        <f t="shared" si="4"/>
        <v>360</v>
      </c>
      <c r="P17" s="1">
        <f t="shared" si="5"/>
        <v>0</v>
      </c>
      <c r="Q17" s="1">
        <f t="shared" si="15"/>
        <v>0</v>
      </c>
      <c r="R17" s="1">
        <f t="shared" si="6"/>
        <v>26.87</v>
      </c>
      <c r="S17" s="1"/>
      <c r="T17" s="1">
        <f t="shared" si="7"/>
        <v>24.983</v>
      </c>
      <c r="U17" s="1"/>
    </row>
    <row r="18" spans="1:21" ht="12.75">
      <c r="A18" s="1">
        <v>110</v>
      </c>
      <c r="B18" s="1">
        <f t="shared" si="0"/>
        <v>0</v>
      </c>
      <c r="C18" s="1">
        <f t="shared" si="8"/>
        <v>0</v>
      </c>
      <c r="D18" s="1">
        <f t="shared" si="9"/>
        <v>0</v>
      </c>
      <c r="E18" s="1">
        <f t="shared" si="10"/>
        <v>0</v>
      </c>
      <c r="F18" s="1">
        <f t="shared" si="1"/>
        <v>0</v>
      </c>
      <c r="G18" s="1"/>
      <c r="H18" s="1">
        <v>11</v>
      </c>
      <c r="I18" s="1">
        <f t="shared" si="2"/>
        <v>0</v>
      </c>
      <c r="J18" s="1">
        <f t="shared" si="3"/>
        <v>37</v>
      </c>
      <c r="K18" s="1">
        <f t="shared" si="11"/>
        <v>0</v>
      </c>
      <c r="L18" s="1">
        <f t="shared" si="12"/>
        <v>0</v>
      </c>
      <c r="M18" s="1">
        <f t="shared" si="13"/>
        <v>360</v>
      </c>
      <c r="N18" s="1">
        <f t="shared" si="14"/>
        <v>360</v>
      </c>
      <c r="O18" s="1">
        <f t="shared" si="4"/>
        <v>360</v>
      </c>
      <c r="P18" s="1">
        <f t="shared" si="5"/>
        <v>0</v>
      </c>
      <c r="Q18" s="1">
        <f t="shared" si="15"/>
        <v>0</v>
      </c>
      <c r="R18" s="1">
        <f t="shared" si="6"/>
        <v>26.87</v>
      </c>
      <c r="S18" s="1"/>
      <c r="T18" s="1">
        <f t="shared" si="7"/>
        <v>24.983</v>
      </c>
      <c r="U18" s="1"/>
    </row>
    <row r="19" spans="1:21" ht="12.75">
      <c r="A19" s="1">
        <v>120</v>
      </c>
      <c r="B19" s="1">
        <f t="shared" si="0"/>
        <v>0</v>
      </c>
      <c r="C19" s="1">
        <f t="shared" si="8"/>
        <v>0</v>
      </c>
      <c r="D19" s="1">
        <f t="shared" si="9"/>
        <v>0</v>
      </c>
      <c r="E19" s="1">
        <f t="shared" si="10"/>
        <v>0</v>
      </c>
      <c r="F19" s="1">
        <f t="shared" si="1"/>
        <v>0</v>
      </c>
      <c r="G19" s="1"/>
      <c r="H19" s="1">
        <v>12</v>
      </c>
      <c r="I19" s="1">
        <f t="shared" si="2"/>
        <v>0</v>
      </c>
      <c r="J19" s="1">
        <f t="shared" si="3"/>
        <v>37</v>
      </c>
      <c r="K19" s="1">
        <f t="shared" si="11"/>
        <v>0</v>
      </c>
      <c r="L19" s="1">
        <f t="shared" si="12"/>
        <v>0</v>
      </c>
      <c r="M19" s="1">
        <f t="shared" si="13"/>
        <v>360</v>
      </c>
      <c r="N19" s="1">
        <f t="shared" si="14"/>
        <v>360</v>
      </c>
      <c r="O19" s="1">
        <f t="shared" si="4"/>
        <v>360</v>
      </c>
      <c r="P19" s="1">
        <f t="shared" si="5"/>
        <v>0</v>
      </c>
      <c r="Q19" s="1">
        <f t="shared" si="15"/>
        <v>0</v>
      </c>
      <c r="R19" s="1">
        <f t="shared" si="6"/>
        <v>26.87</v>
      </c>
      <c r="S19" s="1"/>
      <c r="T19" s="1">
        <f t="shared" si="7"/>
        <v>24.983</v>
      </c>
      <c r="U19" s="1"/>
    </row>
    <row r="20" spans="1:21" ht="12.75">
      <c r="A20" s="1">
        <v>130</v>
      </c>
      <c r="B20" s="1">
        <f t="shared" si="0"/>
        <v>0</v>
      </c>
      <c r="C20" s="1">
        <f t="shared" si="8"/>
        <v>0</v>
      </c>
      <c r="D20" s="1">
        <f t="shared" si="9"/>
        <v>0</v>
      </c>
      <c r="E20" s="1">
        <f t="shared" si="10"/>
        <v>0</v>
      </c>
      <c r="F20" s="1">
        <f t="shared" si="1"/>
        <v>0</v>
      </c>
      <c r="G20" s="1"/>
      <c r="H20" s="1">
        <v>13</v>
      </c>
      <c r="I20" s="1">
        <f t="shared" si="2"/>
        <v>0</v>
      </c>
      <c r="J20" s="1">
        <f t="shared" si="3"/>
        <v>37</v>
      </c>
      <c r="K20" s="1">
        <f t="shared" si="11"/>
        <v>0</v>
      </c>
      <c r="L20" s="1">
        <f t="shared" si="12"/>
        <v>0</v>
      </c>
      <c r="M20" s="1">
        <f t="shared" si="13"/>
        <v>360</v>
      </c>
      <c r="N20" s="1">
        <f t="shared" si="14"/>
        <v>360</v>
      </c>
      <c r="O20" s="1">
        <f t="shared" si="4"/>
        <v>360</v>
      </c>
      <c r="P20" s="1">
        <f t="shared" si="5"/>
        <v>0</v>
      </c>
      <c r="Q20" s="1">
        <f t="shared" si="15"/>
        <v>0</v>
      </c>
      <c r="R20" s="1">
        <f t="shared" si="6"/>
        <v>26.87</v>
      </c>
      <c r="S20" s="1"/>
      <c r="T20" s="1">
        <f t="shared" si="7"/>
        <v>24.983</v>
      </c>
      <c r="U20" s="1"/>
    </row>
    <row r="21" spans="1:21" ht="12.75">
      <c r="A21" s="1">
        <v>140</v>
      </c>
      <c r="B21" s="1">
        <f t="shared" si="0"/>
        <v>0</v>
      </c>
      <c r="C21" s="1">
        <f t="shared" si="8"/>
        <v>0</v>
      </c>
      <c r="D21" s="1">
        <f t="shared" si="9"/>
        <v>0</v>
      </c>
      <c r="E21" s="1">
        <f t="shared" si="10"/>
        <v>0</v>
      </c>
      <c r="F21" s="1">
        <f t="shared" si="1"/>
        <v>0</v>
      </c>
      <c r="G21" s="1"/>
      <c r="H21" s="1">
        <v>14</v>
      </c>
      <c r="I21" s="1">
        <f t="shared" si="2"/>
        <v>0</v>
      </c>
      <c r="J21" s="1">
        <f t="shared" si="3"/>
        <v>37</v>
      </c>
      <c r="K21" s="1">
        <f t="shared" si="11"/>
        <v>0</v>
      </c>
      <c r="L21" s="1">
        <f t="shared" si="12"/>
        <v>0</v>
      </c>
      <c r="M21" s="1">
        <f t="shared" si="13"/>
        <v>360</v>
      </c>
      <c r="N21" s="1">
        <f t="shared" si="14"/>
        <v>360</v>
      </c>
      <c r="O21" s="1">
        <f t="shared" si="4"/>
        <v>360</v>
      </c>
      <c r="P21" s="1">
        <f t="shared" si="5"/>
        <v>0</v>
      </c>
      <c r="Q21" s="1">
        <f t="shared" si="15"/>
        <v>0</v>
      </c>
      <c r="R21" s="1">
        <f t="shared" si="6"/>
        <v>26.87</v>
      </c>
      <c r="S21" s="1"/>
      <c r="T21" s="1">
        <f t="shared" si="7"/>
        <v>24.983</v>
      </c>
      <c r="U21" s="1"/>
    </row>
    <row r="22" spans="1:21" ht="12.75">
      <c r="A22" s="1">
        <v>150</v>
      </c>
      <c r="B22" s="1">
        <f t="shared" si="0"/>
        <v>0</v>
      </c>
      <c r="C22" s="1">
        <f t="shared" si="8"/>
        <v>0</v>
      </c>
      <c r="D22" s="1">
        <f t="shared" si="9"/>
        <v>0</v>
      </c>
      <c r="E22" s="1">
        <f t="shared" si="10"/>
        <v>0</v>
      </c>
      <c r="F22" s="1">
        <f t="shared" si="1"/>
        <v>0</v>
      </c>
      <c r="G22" s="1"/>
      <c r="H22" s="1">
        <v>15</v>
      </c>
      <c r="I22" s="1">
        <f t="shared" si="2"/>
        <v>0</v>
      </c>
      <c r="J22" s="1">
        <f t="shared" si="3"/>
        <v>37</v>
      </c>
      <c r="K22" s="1">
        <f t="shared" si="11"/>
        <v>0</v>
      </c>
      <c r="L22" s="1">
        <f t="shared" si="12"/>
        <v>0</v>
      </c>
      <c r="M22" s="1">
        <f t="shared" si="13"/>
        <v>360</v>
      </c>
      <c r="N22" s="1">
        <f t="shared" si="14"/>
        <v>360</v>
      </c>
      <c r="O22" s="1">
        <f t="shared" si="4"/>
        <v>360</v>
      </c>
      <c r="P22" s="1">
        <f t="shared" si="5"/>
        <v>0</v>
      </c>
      <c r="Q22" s="1">
        <f t="shared" si="15"/>
        <v>0</v>
      </c>
      <c r="R22" s="1">
        <f t="shared" si="6"/>
        <v>26.87</v>
      </c>
      <c r="S22" s="1"/>
      <c r="T22" s="1">
        <f t="shared" si="7"/>
        <v>24.983</v>
      </c>
      <c r="U22" s="1"/>
    </row>
    <row r="23" spans="1:21" ht="12.75">
      <c r="A23" s="1">
        <v>160</v>
      </c>
      <c r="B23" s="1">
        <f t="shared" si="0"/>
        <v>0</v>
      </c>
      <c r="C23" s="1">
        <f t="shared" si="8"/>
        <v>0</v>
      </c>
      <c r="D23" s="1">
        <f t="shared" si="9"/>
        <v>0</v>
      </c>
      <c r="E23" s="1">
        <f t="shared" si="10"/>
        <v>0</v>
      </c>
      <c r="F23" s="1">
        <f t="shared" si="1"/>
        <v>0</v>
      </c>
      <c r="G23" s="1"/>
      <c r="H23" s="1">
        <v>16</v>
      </c>
      <c r="I23" s="1">
        <f t="shared" si="2"/>
        <v>0</v>
      </c>
      <c r="J23" s="1">
        <f t="shared" si="3"/>
        <v>37</v>
      </c>
      <c r="K23" s="1">
        <f t="shared" si="11"/>
        <v>0</v>
      </c>
      <c r="L23" s="1">
        <f t="shared" si="12"/>
        <v>0</v>
      </c>
      <c r="M23" s="1">
        <f t="shared" si="13"/>
        <v>360</v>
      </c>
      <c r="N23" s="1">
        <f t="shared" si="14"/>
        <v>360</v>
      </c>
      <c r="O23" s="1">
        <f t="shared" si="4"/>
        <v>360</v>
      </c>
      <c r="P23" s="1">
        <f t="shared" si="5"/>
        <v>0</v>
      </c>
      <c r="Q23" s="1">
        <f t="shared" si="15"/>
        <v>0</v>
      </c>
      <c r="R23" s="1">
        <f t="shared" si="6"/>
        <v>26.87</v>
      </c>
      <c r="S23" s="1"/>
      <c r="T23" s="1">
        <f t="shared" si="7"/>
        <v>24.983</v>
      </c>
      <c r="U23" s="1"/>
    </row>
    <row r="24" spans="1:21" ht="12.75">
      <c r="A24" s="1">
        <v>170</v>
      </c>
      <c r="B24" s="1">
        <f t="shared" si="0"/>
        <v>0</v>
      </c>
      <c r="C24" s="1">
        <f t="shared" si="8"/>
        <v>0</v>
      </c>
      <c r="D24" s="1">
        <f t="shared" si="9"/>
        <v>0</v>
      </c>
      <c r="E24" s="1">
        <f t="shared" si="10"/>
        <v>0</v>
      </c>
      <c r="F24" s="1">
        <f t="shared" si="1"/>
        <v>0</v>
      </c>
      <c r="G24" s="1"/>
      <c r="H24" s="1">
        <v>17</v>
      </c>
      <c r="I24" s="1">
        <f t="shared" si="2"/>
        <v>0</v>
      </c>
      <c r="J24" s="1">
        <f t="shared" si="3"/>
        <v>37</v>
      </c>
      <c r="K24" s="1">
        <f t="shared" si="11"/>
        <v>0</v>
      </c>
      <c r="L24" s="1">
        <f t="shared" si="12"/>
        <v>0</v>
      </c>
      <c r="M24" s="1">
        <f t="shared" si="13"/>
        <v>360</v>
      </c>
      <c r="N24" s="1">
        <f t="shared" si="14"/>
        <v>360</v>
      </c>
      <c r="O24" s="1">
        <f t="shared" si="4"/>
        <v>360</v>
      </c>
      <c r="P24" s="1">
        <f t="shared" si="5"/>
        <v>0</v>
      </c>
      <c r="Q24" s="1">
        <f t="shared" si="15"/>
        <v>0</v>
      </c>
      <c r="R24" s="1">
        <f t="shared" si="6"/>
        <v>26.87</v>
      </c>
      <c r="S24" s="1"/>
      <c r="T24" s="1">
        <f t="shared" si="7"/>
        <v>24.983</v>
      </c>
      <c r="U24" s="1"/>
    </row>
    <row r="25" spans="1:21" ht="12.75">
      <c r="A25" s="1">
        <v>180</v>
      </c>
      <c r="B25" s="1">
        <f t="shared" si="0"/>
        <v>0</v>
      </c>
      <c r="C25" s="1">
        <f t="shared" si="8"/>
        <v>0</v>
      </c>
      <c r="D25" s="1">
        <f t="shared" si="9"/>
        <v>0</v>
      </c>
      <c r="E25" s="1">
        <f t="shared" si="10"/>
        <v>0</v>
      </c>
      <c r="F25" s="1">
        <f t="shared" si="1"/>
        <v>0</v>
      </c>
      <c r="G25" s="1"/>
      <c r="H25" s="1">
        <v>18</v>
      </c>
      <c r="I25" s="1">
        <f t="shared" si="2"/>
        <v>0</v>
      </c>
      <c r="J25" s="1">
        <f t="shared" si="3"/>
        <v>37</v>
      </c>
      <c r="K25" s="1">
        <f t="shared" si="11"/>
        <v>0</v>
      </c>
      <c r="L25" s="1">
        <f t="shared" si="12"/>
        <v>0</v>
      </c>
      <c r="M25" s="1">
        <f t="shared" si="13"/>
        <v>360</v>
      </c>
      <c r="N25" s="1">
        <f t="shared" si="14"/>
        <v>360</v>
      </c>
      <c r="O25" s="1">
        <f t="shared" si="4"/>
        <v>360</v>
      </c>
      <c r="P25" s="1">
        <f t="shared" si="5"/>
        <v>0</v>
      </c>
      <c r="Q25" s="1">
        <f t="shared" si="15"/>
        <v>0</v>
      </c>
      <c r="R25" s="1">
        <f t="shared" si="6"/>
        <v>26.87</v>
      </c>
      <c r="S25" s="1"/>
      <c r="T25" s="1">
        <f t="shared" si="7"/>
        <v>24.983</v>
      </c>
      <c r="U25" s="1"/>
    </row>
    <row r="26" spans="1:21" ht="12.75">
      <c r="A26" s="1">
        <v>190</v>
      </c>
      <c r="B26" s="1">
        <f t="shared" si="0"/>
        <v>0</v>
      </c>
      <c r="C26" s="1">
        <f t="shared" si="8"/>
        <v>0</v>
      </c>
      <c r="D26" s="1">
        <f t="shared" si="9"/>
        <v>0</v>
      </c>
      <c r="E26" s="1">
        <f t="shared" si="10"/>
        <v>0</v>
      </c>
      <c r="F26" s="1">
        <f t="shared" si="1"/>
        <v>0</v>
      </c>
      <c r="G26" s="1"/>
      <c r="H26" s="1">
        <v>19</v>
      </c>
      <c r="I26" s="1">
        <f t="shared" si="2"/>
        <v>0</v>
      </c>
      <c r="J26" s="1">
        <f t="shared" si="3"/>
        <v>37</v>
      </c>
      <c r="K26" s="1">
        <f t="shared" si="11"/>
        <v>0</v>
      </c>
      <c r="L26" s="1">
        <f t="shared" si="12"/>
        <v>0</v>
      </c>
      <c r="M26" s="1">
        <f t="shared" si="13"/>
        <v>360</v>
      </c>
      <c r="N26" s="1">
        <f t="shared" si="14"/>
        <v>360</v>
      </c>
      <c r="O26" s="1">
        <f t="shared" si="4"/>
        <v>360</v>
      </c>
      <c r="P26" s="1">
        <f t="shared" si="5"/>
        <v>0</v>
      </c>
      <c r="Q26" s="1">
        <f t="shared" si="15"/>
        <v>0</v>
      </c>
      <c r="R26" s="1">
        <f t="shared" si="6"/>
        <v>26.87</v>
      </c>
      <c r="S26" s="1"/>
      <c r="T26" s="1">
        <f t="shared" si="7"/>
        <v>24.983</v>
      </c>
      <c r="U26" s="1"/>
    </row>
    <row r="27" spans="1:21" ht="12.75">
      <c r="A27" s="1">
        <v>200</v>
      </c>
      <c r="B27" s="1">
        <f t="shared" si="0"/>
        <v>0</v>
      </c>
      <c r="C27" s="1">
        <f t="shared" si="8"/>
        <v>0</v>
      </c>
      <c r="D27" s="1">
        <f t="shared" si="9"/>
        <v>0</v>
      </c>
      <c r="E27" s="1">
        <f t="shared" si="10"/>
        <v>0</v>
      </c>
      <c r="F27" s="1">
        <f t="shared" si="1"/>
        <v>0</v>
      </c>
      <c r="G27" s="1"/>
      <c r="H27" s="1">
        <v>20</v>
      </c>
      <c r="I27" s="1">
        <f t="shared" si="2"/>
        <v>0</v>
      </c>
      <c r="J27" s="1">
        <f t="shared" si="3"/>
        <v>37</v>
      </c>
      <c r="K27" s="1">
        <f t="shared" si="11"/>
        <v>0</v>
      </c>
      <c r="L27" s="1">
        <f>IF(K27&lt;LBP,INDEX(x_array_hogging,J27+1),K27)</f>
        <v>0</v>
      </c>
      <c r="M27" s="1">
        <f t="shared" si="13"/>
        <v>360</v>
      </c>
      <c r="N27" s="1">
        <f t="shared" si="14"/>
        <v>360</v>
      </c>
      <c r="O27" s="1">
        <f>IF(K27&lt;LBP,(I27-K27)/(L27-K27)*(N27-M27)+M27,M27)</f>
        <v>360</v>
      </c>
      <c r="P27" s="1">
        <f t="shared" si="5"/>
        <v>0</v>
      </c>
      <c r="Q27" s="1">
        <f t="shared" si="15"/>
        <v>0</v>
      </c>
      <c r="R27" s="1">
        <f t="shared" si="6"/>
        <v>26.87</v>
      </c>
      <c r="S27" s="1"/>
      <c r="T27" s="1">
        <f t="shared" si="7"/>
        <v>24.983</v>
      </c>
      <c r="U27" s="1"/>
    </row>
    <row r="28" spans="1:21" ht="12.75">
      <c r="A28" s="1">
        <v>210</v>
      </c>
      <c r="B28" s="1">
        <f t="shared" si="0"/>
        <v>0</v>
      </c>
      <c r="C28" s="1">
        <f t="shared" si="8"/>
        <v>0</v>
      </c>
      <c r="D28" s="1">
        <f t="shared" si="9"/>
        <v>0</v>
      </c>
      <c r="E28" s="1">
        <f t="shared" si="10"/>
        <v>0</v>
      </c>
      <c r="F28" s="1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>
        <v>220</v>
      </c>
      <c r="B29" s="1">
        <f t="shared" si="0"/>
        <v>0</v>
      </c>
      <c r="C29" s="1">
        <f t="shared" si="8"/>
        <v>0</v>
      </c>
      <c r="D29" s="1">
        <f t="shared" si="9"/>
        <v>0</v>
      </c>
      <c r="E29" s="1">
        <f t="shared" si="10"/>
        <v>0</v>
      </c>
      <c r="F29" s="1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>
        <v>230</v>
      </c>
      <c r="B30" s="1">
        <f t="shared" si="0"/>
        <v>0</v>
      </c>
      <c r="C30" s="1">
        <f t="shared" si="8"/>
        <v>0</v>
      </c>
      <c r="D30" s="1">
        <f t="shared" si="9"/>
        <v>0</v>
      </c>
      <c r="E30" s="1">
        <f t="shared" si="10"/>
        <v>0</v>
      </c>
      <c r="F30" s="1">
        <f t="shared" si="1"/>
        <v>0</v>
      </c>
      <c r="G30" s="1"/>
      <c r="H30" s="18" t="s">
        <v>129</v>
      </c>
      <c r="I30" s="1"/>
      <c r="J30" s="1"/>
      <c r="K30" s="1"/>
      <c r="L30" s="1"/>
      <c r="M30" s="1"/>
      <c r="N30" s="1"/>
      <c r="O30" s="1"/>
      <c r="P30" s="1"/>
      <c r="Q30" s="1" t="s">
        <v>81</v>
      </c>
      <c r="R30" s="1">
        <f>mean_draft_sagging</f>
        <v>26.875</v>
      </c>
      <c r="S30" s="1"/>
      <c r="T30" s="1"/>
      <c r="U30" s="1"/>
    </row>
    <row r="31" spans="1:21" ht="12.75">
      <c r="A31" s="1">
        <v>240</v>
      </c>
      <c r="B31" s="1">
        <f t="shared" si="0"/>
        <v>0</v>
      </c>
      <c r="C31" s="1">
        <f t="shared" si="8"/>
        <v>0</v>
      </c>
      <c r="D31" s="1">
        <f t="shared" si="9"/>
        <v>0</v>
      </c>
      <c r="E31" s="1">
        <f t="shared" si="10"/>
        <v>0</v>
      </c>
      <c r="F31" s="1">
        <f t="shared" si="1"/>
        <v>0</v>
      </c>
      <c r="G31" s="1"/>
      <c r="H31" s="1" t="s">
        <v>121</v>
      </c>
      <c r="I31" s="1"/>
      <c r="J31" s="1"/>
      <c r="K31" s="1"/>
      <c r="L31" s="1"/>
      <c r="M31" s="1"/>
      <c r="N31" s="1"/>
      <c r="O31" s="1"/>
      <c r="P31" s="1"/>
      <c r="Q31" s="1" t="s">
        <v>82</v>
      </c>
      <c r="R31" s="1">
        <f>trim_angle_sagging</f>
        <v>0</v>
      </c>
      <c r="S31" s="1"/>
      <c r="T31" s="1"/>
      <c r="U31" s="1"/>
    </row>
    <row r="32" spans="1:21" ht="12.75">
      <c r="A32" s="1">
        <v>250</v>
      </c>
      <c r="B32" s="1">
        <f t="shared" si="0"/>
        <v>0</v>
      </c>
      <c r="C32" s="1">
        <f t="shared" si="8"/>
        <v>0</v>
      </c>
      <c r="D32" s="1">
        <f t="shared" si="9"/>
        <v>0</v>
      </c>
      <c r="E32" s="1">
        <f t="shared" si="10"/>
        <v>0</v>
      </c>
      <c r="F32" s="1">
        <f t="shared" si="1"/>
        <v>0</v>
      </c>
      <c r="G32" s="1"/>
      <c r="H32" s="1" t="s">
        <v>73</v>
      </c>
      <c r="I32" s="1" t="s">
        <v>74</v>
      </c>
      <c r="J32" s="1" t="s">
        <v>75</v>
      </c>
      <c r="K32" s="1" t="s">
        <v>76</v>
      </c>
      <c r="L32" s="1" t="s">
        <v>77</v>
      </c>
      <c r="M32" s="1" t="s">
        <v>78</v>
      </c>
      <c r="N32" s="1" t="s">
        <v>79</v>
      </c>
      <c r="O32" s="1" t="s">
        <v>80</v>
      </c>
      <c r="P32" s="1" t="s">
        <v>110</v>
      </c>
      <c r="Q32" s="1" t="s">
        <v>124</v>
      </c>
      <c r="R32" s="1" t="s">
        <v>85</v>
      </c>
      <c r="S32" s="1"/>
      <c r="T32" s="1"/>
      <c r="U32" s="1"/>
    </row>
    <row r="33" spans="1:21" ht="12.75">
      <c r="A33" s="1">
        <v>260</v>
      </c>
      <c r="B33" s="1">
        <f t="shared" si="0"/>
        <v>0</v>
      </c>
      <c r="C33" s="1">
        <f t="shared" si="8"/>
        <v>0</v>
      </c>
      <c r="D33" s="1">
        <f t="shared" si="9"/>
        <v>0</v>
      </c>
      <c r="E33" s="1">
        <f t="shared" si="10"/>
        <v>0</v>
      </c>
      <c r="F33" s="1">
        <f t="shared" si="1"/>
        <v>0</v>
      </c>
      <c r="G33" s="1"/>
      <c r="H33" s="1">
        <v>0</v>
      </c>
      <c r="I33" s="1">
        <f aca="true" t="shared" si="16" ref="I33:I53">H33*LBP/(number_of_stations-1)</f>
        <v>0</v>
      </c>
      <c r="J33" s="1">
        <f aca="true" t="shared" si="17" ref="J33:J53">MATCH(I33,x_array_sagging)</f>
        <v>37</v>
      </c>
      <c r="K33" s="1">
        <f>INDEX(x_array_sagging,J33)</f>
        <v>0</v>
      </c>
      <c r="L33" s="1">
        <f aca="true" t="shared" si="18" ref="L33:L52">IF(I33&lt;LBP,INDEX(x_array_sagging,J33+1),K33)</f>
        <v>0</v>
      </c>
      <c r="M33" s="1">
        <f>INDEX(phi_array,J33)</f>
        <v>360</v>
      </c>
      <c r="N33" s="1">
        <f aca="true" t="shared" si="19" ref="N33:N53">IF(K33&lt;LBP,INDEX(phi_array,J33+1),M33)</f>
        <v>360</v>
      </c>
      <c r="O33" s="1">
        <f aca="true" t="shared" si="20" ref="O33:O52">IF(I33&lt;LBP,(I33-K33)/(L33-K33)*(N33-M33)+M33,M33)</f>
        <v>360</v>
      </c>
      <c r="P33" s="1">
        <f>LBP/360*O33-htwave*SIN(RADIANS(O33))</f>
        <v>0</v>
      </c>
      <c r="Q33" s="1">
        <f>htwave*(1+COS(RADIANS(O33)))/2</f>
        <v>0</v>
      </c>
      <c r="R33" s="1">
        <f aca="true" t="shared" si="21" ref="R33:R53">(Q33-htwave/2)+mean_draft_sagging+(LBP/2-P33)*TAN(RADIANS(trim_angle_sagging))</f>
        <v>26.875</v>
      </c>
      <c r="S33" s="1"/>
      <c r="T33" s="1"/>
      <c r="U33" s="1"/>
    </row>
    <row r="34" spans="1:21" ht="12.75">
      <c r="A34" s="1">
        <v>270</v>
      </c>
      <c r="B34" s="1">
        <f t="shared" si="0"/>
        <v>0</v>
      </c>
      <c r="C34" s="1">
        <f t="shared" si="8"/>
        <v>0</v>
      </c>
      <c r="D34" s="1">
        <f t="shared" si="9"/>
        <v>0</v>
      </c>
      <c r="E34" s="1">
        <f t="shared" si="10"/>
        <v>0</v>
      </c>
      <c r="F34" s="1">
        <f t="shared" si="1"/>
        <v>0</v>
      </c>
      <c r="G34" s="1"/>
      <c r="H34" s="1">
        <v>1</v>
      </c>
      <c r="I34" s="1">
        <f t="shared" si="16"/>
        <v>0</v>
      </c>
      <c r="J34" s="1">
        <f t="shared" si="17"/>
        <v>37</v>
      </c>
      <c r="K34" s="1">
        <f aca="true" t="shared" si="22" ref="K34:K53">INDEX(x_array_sagging,J34)</f>
        <v>0</v>
      </c>
      <c r="L34" s="1">
        <f t="shared" si="18"/>
        <v>0</v>
      </c>
      <c r="M34" s="1">
        <f aca="true" t="shared" si="23" ref="M34:M53">INDEX(phi_array,J34)</f>
        <v>360</v>
      </c>
      <c r="N34" s="1">
        <f t="shared" si="19"/>
        <v>360</v>
      </c>
      <c r="O34" s="1">
        <f t="shared" si="20"/>
        <v>360</v>
      </c>
      <c r="P34" s="1">
        <f aca="true" t="shared" si="24" ref="P34:P53">LBP/360*O34-htwave*SIN(RADIANS(O34))</f>
        <v>0</v>
      </c>
      <c r="Q34" s="1">
        <f aca="true" t="shared" si="25" ref="Q34:Q53">htwave*(1+COS(RADIANS(O34)))/2</f>
        <v>0</v>
      </c>
      <c r="R34" s="1">
        <f t="shared" si="21"/>
        <v>26.875</v>
      </c>
      <c r="S34" s="1"/>
      <c r="T34" s="1"/>
      <c r="U34" s="1"/>
    </row>
    <row r="35" spans="1:21" ht="12.75">
      <c r="A35" s="1">
        <v>280</v>
      </c>
      <c r="B35" s="1">
        <f t="shared" si="0"/>
        <v>0</v>
      </c>
      <c r="C35" s="1">
        <f t="shared" si="8"/>
        <v>0</v>
      </c>
      <c r="D35" s="1">
        <f t="shared" si="9"/>
        <v>0</v>
      </c>
      <c r="E35" s="1">
        <f t="shared" si="10"/>
        <v>0</v>
      </c>
      <c r="F35" s="1">
        <f t="shared" si="1"/>
        <v>0</v>
      </c>
      <c r="G35" s="1"/>
      <c r="H35" s="1">
        <v>2</v>
      </c>
      <c r="I35" s="1">
        <f t="shared" si="16"/>
        <v>0</v>
      </c>
      <c r="J35" s="1">
        <f t="shared" si="17"/>
        <v>37</v>
      </c>
      <c r="K35" s="1">
        <f t="shared" si="22"/>
        <v>0</v>
      </c>
      <c r="L35" s="1">
        <f t="shared" si="18"/>
        <v>0</v>
      </c>
      <c r="M35" s="1">
        <f t="shared" si="23"/>
        <v>360</v>
      </c>
      <c r="N35" s="1">
        <f t="shared" si="19"/>
        <v>360</v>
      </c>
      <c r="O35" s="1">
        <f t="shared" si="20"/>
        <v>360</v>
      </c>
      <c r="P35" s="1">
        <f t="shared" si="24"/>
        <v>0</v>
      </c>
      <c r="Q35" s="1">
        <f t="shared" si="25"/>
        <v>0</v>
      </c>
      <c r="R35" s="1">
        <f t="shared" si="21"/>
        <v>26.875</v>
      </c>
      <c r="S35" s="1"/>
      <c r="T35" s="1"/>
      <c r="U35" s="1"/>
    </row>
    <row r="36" spans="1:21" ht="12.75">
      <c r="A36" s="1">
        <v>290</v>
      </c>
      <c r="B36" s="1">
        <f t="shared" si="0"/>
        <v>0</v>
      </c>
      <c r="C36" s="1">
        <f t="shared" si="8"/>
        <v>0</v>
      </c>
      <c r="D36" s="1">
        <f t="shared" si="9"/>
        <v>0</v>
      </c>
      <c r="E36" s="1">
        <f t="shared" si="10"/>
        <v>0</v>
      </c>
      <c r="F36" s="1">
        <f t="shared" si="1"/>
        <v>0</v>
      </c>
      <c r="G36" s="1"/>
      <c r="H36" s="1">
        <v>3</v>
      </c>
      <c r="I36" s="1">
        <f t="shared" si="16"/>
        <v>0</v>
      </c>
      <c r="J36" s="1">
        <f t="shared" si="17"/>
        <v>37</v>
      </c>
      <c r="K36" s="1">
        <f t="shared" si="22"/>
        <v>0</v>
      </c>
      <c r="L36" s="1">
        <f t="shared" si="18"/>
        <v>0</v>
      </c>
      <c r="M36" s="1">
        <f t="shared" si="23"/>
        <v>360</v>
      </c>
      <c r="N36" s="1">
        <f t="shared" si="19"/>
        <v>360</v>
      </c>
      <c r="O36" s="1">
        <f t="shared" si="20"/>
        <v>360</v>
      </c>
      <c r="P36" s="1">
        <f t="shared" si="24"/>
        <v>0</v>
      </c>
      <c r="Q36" s="1">
        <f t="shared" si="25"/>
        <v>0</v>
      </c>
      <c r="R36" s="1">
        <f t="shared" si="21"/>
        <v>26.875</v>
      </c>
      <c r="S36" s="1"/>
      <c r="T36" s="1"/>
      <c r="U36" s="1"/>
    </row>
    <row r="37" spans="1:21" ht="12.75">
      <c r="A37" s="1">
        <v>300</v>
      </c>
      <c r="B37" s="1">
        <f t="shared" si="0"/>
        <v>0</v>
      </c>
      <c r="C37" s="1">
        <f t="shared" si="8"/>
        <v>0</v>
      </c>
      <c r="D37" s="1">
        <f t="shared" si="9"/>
        <v>0</v>
      </c>
      <c r="E37" s="1">
        <f t="shared" si="10"/>
        <v>0</v>
      </c>
      <c r="F37" s="1">
        <f t="shared" si="1"/>
        <v>0</v>
      </c>
      <c r="G37" s="1"/>
      <c r="H37" s="1">
        <v>4</v>
      </c>
      <c r="I37" s="1">
        <f t="shared" si="16"/>
        <v>0</v>
      </c>
      <c r="J37" s="1">
        <f t="shared" si="17"/>
        <v>37</v>
      </c>
      <c r="K37" s="1">
        <f t="shared" si="22"/>
        <v>0</v>
      </c>
      <c r="L37" s="1">
        <f t="shared" si="18"/>
        <v>0</v>
      </c>
      <c r="M37" s="1">
        <f t="shared" si="23"/>
        <v>360</v>
      </c>
      <c r="N37" s="1">
        <f t="shared" si="19"/>
        <v>360</v>
      </c>
      <c r="O37" s="1">
        <f t="shared" si="20"/>
        <v>360</v>
      </c>
      <c r="P37" s="1">
        <f t="shared" si="24"/>
        <v>0</v>
      </c>
      <c r="Q37" s="1">
        <f t="shared" si="25"/>
        <v>0</v>
      </c>
      <c r="R37" s="1">
        <f t="shared" si="21"/>
        <v>26.875</v>
      </c>
      <c r="S37" s="1"/>
      <c r="T37" s="1"/>
      <c r="U37" s="1"/>
    </row>
    <row r="38" spans="1:21" ht="12.75">
      <c r="A38" s="1">
        <v>310</v>
      </c>
      <c r="B38" s="1">
        <f t="shared" si="0"/>
        <v>0</v>
      </c>
      <c r="C38" s="1">
        <f t="shared" si="8"/>
        <v>0</v>
      </c>
      <c r="D38" s="1">
        <f t="shared" si="9"/>
        <v>0</v>
      </c>
      <c r="E38" s="1">
        <f t="shared" si="10"/>
        <v>0</v>
      </c>
      <c r="F38" s="1">
        <f t="shared" si="1"/>
        <v>0</v>
      </c>
      <c r="G38" s="1"/>
      <c r="H38" s="1">
        <v>5</v>
      </c>
      <c r="I38" s="1">
        <f t="shared" si="16"/>
        <v>0</v>
      </c>
      <c r="J38" s="1">
        <f t="shared" si="17"/>
        <v>37</v>
      </c>
      <c r="K38" s="1">
        <f t="shared" si="22"/>
        <v>0</v>
      </c>
      <c r="L38" s="1">
        <f t="shared" si="18"/>
        <v>0</v>
      </c>
      <c r="M38" s="1">
        <f t="shared" si="23"/>
        <v>360</v>
      </c>
      <c r="N38" s="1">
        <f t="shared" si="19"/>
        <v>360</v>
      </c>
      <c r="O38" s="1">
        <f t="shared" si="20"/>
        <v>360</v>
      </c>
      <c r="P38" s="1">
        <f t="shared" si="24"/>
        <v>0</v>
      </c>
      <c r="Q38" s="1">
        <f t="shared" si="25"/>
        <v>0</v>
      </c>
      <c r="R38" s="1">
        <f t="shared" si="21"/>
        <v>26.875</v>
      </c>
      <c r="S38" s="1"/>
      <c r="T38" s="1"/>
      <c r="U38" s="1"/>
    </row>
    <row r="39" spans="1:21" ht="12.75">
      <c r="A39" s="1">
        <v>320</v>
      </c>
      <c r="B39" s="1">
        <f t="shared" si="0"/>
        <v>0</v>
      </c>
      <c r="C39" s="1">
        <f t="shared" si="8"/>
        <v>0</v>
      </c>
      <c r="D39" s="1">
        <f t="shared" si="9"/>
        <v>0</v>
      </c>
      <c r="E39" s="1">
        <f t="shared" si="10"/>
        <v>0</v>
      </c>
      <c r="F39" s="1">
        <f t="shared" si="1"/>
        <v>0</v>
      </c>
      <c r="G39" s="1"/>
      <c r="H39" s="1">
        <v>6</v>
      </c>
      <c r="I39" s="1">
        <f t="shared" si="16"/>
        <v>0</v>
      </c>
      <c r="J39" s="1">
        <f t="shared" si="17"/>
        <v>37</v>
      </c>
      <c r="K39" s="1">
        <f t="shared" si="22"/>
        <v>0</v>
      </c>
      <c r="L39" s="1">
        <f t="shared" si="18"/>
        <v>0</v>
      </c>
      <c r="M39" s="1">
        <f t="shared" si="23"/>
        <v>360</v>
      </c>
      <c r="N39" s="1">
        <f t="shared" si="19"/>
        <v>360</v>
      </c>
      <c r="O39" s="1">
        <f t="shared" si="20"/>
        <v>360</v>
      </c>
      <c r="P39" s="1">
        <f t="shared" si="24"/>
        <v>0</v>
      </c>
      <c r="Q39" s="1">
        <f t="shared" si="25"/>
        <v>0</v>
      </c>
      <c r="R39" s="1">
        <f t="shared" si="21"/>
        <v>26.875</v>
      </c>
      <c r="S39" s="1"/>
      <c r="T39" s="1"/>
      <c r="U39" s="1"/>
    </row>
    <row r="40" spans="1:21" ht="12.75">
      <c r="A40" s="1">
        <v>330</v>
      </c>
      <c r="B40" s="1">
        <f t="shared" si="0"/>
        <v>0</v>
      </c>
      <c r="C40" s="1">
        <f t="shared" si="8"/>
        <v>0</v>
      </c>
      <c r="D40" s="1">
        <f t="shared" si="9"/>
        <v>0</v>
      </c>
      <c r="E40" s="1">
        <f t="shared" si="10"/>
        <v>0</v>
      </c>
      <c r="F40" s="1">
        <f t="shared" si="1"/>
        <v>0</v>
      </c>
      <c r="G40" s="1"/>
      <c r="H40" s="1">
        <v>7</v>
      </c>
      <c r="I40" s="1">
        <f t="shared" si="16"/>
        <v>0</v>
      </c>
      <c r="J40" s="1">
        <f t="shared" si="17"/>
        <v>37</v>
      </c>
      <c r="K40" s="1">
        <f t="shared" si="22"/>
        <v>0</v>
      </c>
      <c r="L40" s="1">
        <f t="shared" si="18"/>
        <v>0</v>
      </c>
      <c r="M40" s="1">
        <f t="shared" si="23"/>
        <v>360</v>
      </c>
      <c r="N40" s="1">
        <f t="shared" si="19"/>
        <v>360</v>
      </c>
      <c r="O40" s="1">
        <f t="shared" si="20"/>
        <v>360</v>
      </c>
      <c r="P40" s="1">
        <f t="shared" si="24"/>
        <v>0</v>
      </c>
      <c r="Q40" s="1">
        <f t="shared" si="25"/>
        <v>0</v>
      </c>
      <c r="R40" s="1">
        <f t="shared" si="21"/>
        <v>26.875</v>
      </c>
      <c r="S40" s="1"/>
      <c r="T40" s="1"/>
      <c r="U40" s="1"/>
    </row>
    <row r="41" spans="1:21" ht="12.75">
      <c r="A41" s="1">
        <v>340</v>
      </c>
      <c r="B41" s="1">
        <f t="shared" si="0"/>
        <v>0</v>
      </c>
      <c r="C41" s="1">
        <f t="shared" si="8"/>
        <v>0</v>
      </c>
      <c r="D41" s="1">
        <f t="shared" si="9"/>
        <v>0</v>
      </c>
      <c r="E41" s="1">
        <f t="shared" si="10"/>
        <v>0</v>
      </c>
      <c r="F41" s="1">
        <f t="shared" si="1"/>
        <v>0</v>
      </c>
      <c r="G41" s="1"/>
      <c r="H41" s="1">
        <v>8</v>
      </c>
      <c r="I41" s="1">
        <f t="shared" si="16"/>
        <v>0</v>
      </c>
      <c r="J41" s="1">
        <f t="shared" si="17"/>
        <v>37</v>
      </c>
      <c r="K41" s="1">
        <f t="shared" si="22"/>
        <v>0</v>
      </c>
      <c r="L41" s="1">
        <f t="shared" si="18"/>
        <v>0</v>
      </c>
      <c r="M41" s="1">
        <f t="shared" si="23"/>
        <v>360</v>
      </c>
      <c r="N41" s="1">
        <f t="shared" si="19"/>
        <v>360</v>
      </c>
      <c r="O41" s="1">
        <f t="shared" si="20"/>
        <v>360</v>
      </c>
      <c r="P41" s="1">
        <f t="shared" si="24"/>
        <v>0</v>
      </c>
      <c r="Q41" s="1">
        <f t="shared" si="25"/>
        <v>0</v>
      </c>
      <c r="R41" s="1">
        <f t="shared" si="21"/>
        <v>26.875</v>
      </c>
      <c r="S41" s="1"/>
      <c r="T41" s="1"/>
      <c r="U41" s="1"/>
    </row>
    <row r="42" spans="1:21" ht="12.75">
      <c r="A42" s="1">
        <v>350</v>
      </c>
      <c r="B42" s="1">
        <f t="shared" si="0"/>
        <v>0</v>
      </c>
      <c r="C42" s="1">
        <f t="shared" si="8"/>
        <v>0</v>
      </c>
      <c r="D42" s="1">
        <f t="shared" si="9"/>
        <v>0</v>
      </c>
      <c r="E42" s="1">
        <f t="shared" si="10"/>
        <v>0</v>
      </c>
      <c r="F42" s="1">
        <f t="shared" si="1"/>
        <v>0</v>
      </c>
      <c r="G42" s="1"/>
      <c r="H42" s="1">
        <v>9</v>
      </c>
      <c r="I42" s="1">
        <f t="shared" si="16"/>
        <v>0</v>
      </c>
      <c r="J42" s="1">
        <f t="shared" si="17"/>
        <v>37</v>
      </c>
      <c r="K42" s="1">
        <f t="shared" si="22"/>
        <v>0</v>
      </c>
      <c r="L42" s="1">
        <f t="shared" si="18"/>
        <v>0</v>
      </c>
      <c r="M42" s="1">
        <f t="shared" si="23"/>
        <v>360</v>
      </c>
      <c r="N42" s="1">
        <f t="shared" si="19"/>
        <v>360</v>
      </c>
      <c r="O42" s="1">
        <f t="shared" si="20"/>
        <v>360</v>
      </c>
      <c r="P42" s="1">
        <f t="shared" si="24"/>
        <v>0</v>
      </c>
      <c r="Q42" s="1">
        <f t="shared" si="25"/>
        <v>0</v>
      </c>
      <c r="R42" s="1">
        <f t="shared" si="21"/>
        <v>26.875</v>
      </c>
      <c r="S42" s="1"/>
      <c r="T42" s="1"/>
      <c r="U42" s="1"/>
    </row>
    <row r="43" spans="1:21" ht="12.75">
      <c r="A43" s="1">
        <v>360</v>
      </c>
      <c r="B43" s="1">
        <f t="shared" si="0"/>
        <v>0</v>
      </c>
      <c r="C43" s="1">
        <f t="shared" si="8"/>
        <v>0</v>
      </c>
      <c r="D43" s="1">
        <f t="shared" si="9"/>
        <v>0</v>
      </c>
      <c r="E43" s="1">
        <f t="shared" si="10"/>
        <v>0</v>
      </c>
      <c r="F43" s="1">
        <f t="shared" si="1"/>
        <v>0</v>
      </c>
      <c r="G43" s="1"/>
      <c r="H43" s="1">
        <v>10</v>
      </c>
      <c r="I43" s="1">
        <f t="shared" si="16"/>
        <v>0</v>
      </c>
      <c r="J43" s="1">
        <f t="shared" si="17"/>
        <v>37</v>
      </c>
      <c r="K43" s="1">
        <f t="shared" si="22"/>
        <v>0</v>
      </c>
      <c r="L43" s="1">
        <f t="shared" si="18"/>
        <v>0</v>
      </c>
      <c r="M43" s="1">
        <f t="shared" si="23"/>
        <v>360</v>
      </c>
      <c r="N43" s="1">
        <f t="shared" si="19"/>
        <v>360</v>
      </c>
      <c r="O43" s="1">
        <f t="shared" si="20"/>
        <v>360</v>
      </c>
      <c r="P43" s="1">
        <f t="shared" si="24"/>
        <v>0</v>
      </c>
      <c r="Q43" s="1">
        <f t="shared" si="25"/>
        <v>0</v>
      </c>
      <c r="R43" s="1">
        <f t="shared" si="21"/>
        <v>26.875</v>
      </c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>
        <v>11</v>
      </c>
      <c r="I44" s="1">
        <f t="shared" si="16"/>
        <v>0</v>
      </c>
      <c r="J44" s="1">
        <f t="shared" si="17"/>
        <v>37</v>
      </c>
      <c r="K44" s="1">
        <f t="shared" si="22"/>
        <v>0</v>
      </c>
      <c r="L44" s="1">
        <f t="shared" si="18"/>
        <v>0</v>
      </c>
      <c r="M44" s="1">
        <f t="shared" si="23"/>
        <v>360</v>
      </c>
      <c r="N44" s="1">
        <f t="shared" si="19"/>
        <v>360</v>
      </c>
      <c r="O44" s="1">
        <f t="shared" si="20"/>
        <v>360</v>
      </c>
      <c r="P44" s="1">
        <f t="shared" si="24"/>
        <v>0</v>
      </c>
      <c r="Q44" s="1">
        <f t="shared" si="25"/>
        <v>0</v>
      </c>
      <c r="R44" s="1">
        <f t="shared" si="21"/>
        <v>26.875</v>
      </c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>
        <v>12</v>
      </c>
      <c r="I45" s="1">
        <f t="shared" si="16"/>
        <v>0</v>
      </c>
      <c r="J45" s="1">
        <f t="shared" si="17"/>
        <v>37</v>
      </c>
      <c r="K45" s="1">
        <f t="shared" si="22"/>
        <v>0</v>
      </c>
      <c r="L45" s="1">
        <f t="shared" si="18"/>
        <v>0</v>
      </c>
      <c r="M45" s="1">
        <f t="shared" si="23"/>
        <v>360</v>
      </c>
      <c r="N45" s="1">
        <f t="shared" si="19"/>
        <v>360</v>
      </c>
      <c r="O45" s="1">
        <f t="shared" si="20"/>
        <v>360</v>
      </c>
      <c r="P45" s="1">
        <f t="shared" si="24"/>
        <v>0</v>
      </c>
      <c r="Q45" s="1">
        <f t="shared" si="25"/>
        <v>0</v>
      </c>
      <c r="R45" s="1">
        <f t="shared" si="21"/>
        <v>26.875</v>
      </c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>
        <v>13</v>
      </c>
      <c r="I46" s="1">
        <f t="shared" si="16"/>
        <v>0</v>
      </c>
      <c r="J46" s="1">
        <f t="shared" si="17"/>
        <v>37</v>
      </c>
      <c r="K46" s="1">
        <f t="shared" si="22"/>
        <v>0</v>
      </c>
      <c r="L46" s="1">
        <f t="shared" si="18"/>
        <v>0</v>
      </c>
      <c r="M46" s="1">
        <f t="shared" si="23"/>
        <v>360</v>
      </c>
      <c r="N46" s="1">
        <f t="shared" si="19"/>
        <v>360</v>
      </c>
      <c r="O46" s="1">
        <f t="shared" si="20"/>
        <v>360</v>
      </c>
      <c r="P46" s="1">
        <f t="shared" si="24"/>
        <v>0</v>
      </c>
      <c r="Q46" s="1">
        <f t="shared" si="25"/>
        <v>0</v>
      </c>
      <c r="R46" s="1">
        <f t="shared" si="21"/>
        <v>26.875</v>
      </c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>
        <v>14</v>
      </c>
      <c r="I47" s="1">
        <f t="shared" si="16"/>
        <v>0</v>
      </c>
      <c r="J47" s="1">
        <f t="shared" si="17"/>
        <v>37</v>
      </c>
      <c r="K47" s="1">
        <f t="shared" si="22"/>
        <v>0</v>
      </c>
      <c r="L47" s="1">
        <f t="shared" si="18"/>
        <v>0</v>
      </c>
      <c r="M47" s="1">
        <f t="shared" si="23"/>
        <v>360</v>
      </c>
      <c r="N47" s="1">
        <f t="shared" si="19"/>
        <v>360</v>
      </c>
      <c r="O47" s="1">
        <f t="shared" si="20"/>
        <v>360</v>
      </c>
      <c r="P47" s="1">
        <f t="shared" si="24"/>
        <v>0</v>
      </c>
      <c r="Q47" s="1">
        <f t="shared" si="25"/>
        <v>0</v>
      </c>
      <c r="R47" s="1">
        <f t="shared" si="21"/>
        <v>26.875</v>
      </c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>
        <v>15</v>
      </c>
      <c r="I48" s="1">
        <f t="shared" si="16"/>
        <v>0</v>
      </c>
      <c r="J48" s="1">
        <f t="shared" si="17"/>
        <v>37</v>
      </c>
      <c r="K48" s="1">
        <f t="shared" si="22"/>
        <v>0</v>
      </c>
      <c r="L48" s="1">
        <f t="shared" si="18"/>
        <v>0</v>
      </c>
      <c r="M48" s="1">
        <f t="shared" si="23"/>
        <v>360</v>
      </c>
      <c r="N48" s="1">
        <f t="shared" si="19"/>
        <v>360</v>
      </c>
      <c r="O48" s="1">
        <f t="shared" si="20"/>
        <v>360</v>
      </c>
      <c r="P48" s="1">
        <f t="shared" si="24"/>
        <v>0</v>
      </c>
      <c r="Q48" s="1">
        <f t="shared" si="25"/>
        <v>0</v>
      </c>
      <c r="R48" s="1">
        <f t="shared" si="21"/>
        <v>26.875</v>
      </c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>
        <v>16</v>
      </c>
      <c r="I49" s="1">
        <f t="shared" si="16"/>
        <v>0</v>
      </c>
      <c r="J49" s="1">
        <f t="shared" si="17"/>
        <v>37</v>
      </c>
      <c r="K49" s="1">
        <f t="shared" si="22"/>
        <v>0</v>
      </c>
      <c r="L49" s="1">
        <f t="shared" si="18"/>
        <v>0</v>
      </c>
      <c r="M49" s="1">
        <f t="shared" si="23"/>
        <v>360</v>
      </c>
      <c r="N49" s="1">
        <f t="shared" si="19"/>
        <v>360</v>
      </c>
      <c r="O49" s="1">
        <f t="shared" si="20"/>
        <v>360</v>
      </c>
      <c r="P49" s="1">
        <f t="shared" si="24"/>
        <v>0</v>
      </c>
      <c r="Q49" s="1">
        <f t="shared" si="25"/>
        <v>0</v>
      </c>
      <c r="R49" s="1">
        <f t="shared" si="21"/>
        <v>26.875</v>
      </c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>
        <v>17</v>
      </c>
      <c r="I50" s="1">
        <f t="shared" si="16"/>
        <v>0</v>
      </c>
      <c r="J50" s="1">
        <f t="shared" si="17"/>
        <v>37</v>
      </c>
      <c r="K50" s="1">
        <f t="shared" si="22"/>
        <v>0</v>
      </c>
      <c r="L50" s="1">
        <f t="shared" si="18"/>
        <v>0</v>
      </c>
      <c r="M50" s="1">
        <f t="shared" si="23"/>
        <v>360</v>
      </c>
      <c r="N50" s="1">
        <f t="shared" si="19"/>
        <v>360</v>
      </c>
      <c r="O50" s="1">
        <f t="shared" si="20"/>
        <v>360</v>
      </c>
      <c r="P50" s="1">
        <f t="shared" si="24"/>
        <v>0</v>
      </c>
      <c r="Q50" s="1">
        <f t="shared" si="25"/>
        <v>0</v>
      </c>
      <c r="R50" s="1">
        <f t="shared" si="21"/>
        <v>26.875</v>
      </c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>
        <v>18</v>
      </c>
      <c r="I51" s="1">
        <f t="shared" si="16"/>
        <v>0</v>
      </c>
      <c r="J51" s="1">
        <f t="shared" si="17"/>
        <v>37</v>
      </c>
      <c r="K51" s="1">
        <f t="shared" si="22"/>
        <v>0</v>
      </c>
      <c r="L51" s="1">
        <f t="shared" si="18"/>
        <v>0</v>
      </c>
      <c r="M51" s="1">
        <f t="shared" si="23"/>
        <v>360</v>
      </c>
      <c r="N51" s="1">
        <f t="shared" si="19"/>
        <v>360</v>
      </c>
      <c r="O51" s="1">
        <f t="shared" si="20"/>
        <v>360</v>
      </c>
      <c r="P51" s="1">
        <f t="shared" si="24"/>
        <v>0</v>
      </c>
      <c r="Q51" s="1">
        <f t="shared" si="25"/>
        <v>0</v>
      </c>
      <c r="R51" s="1">
        <f t="shared" si="21"/>
        <v>26.875</v>
      </c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>
        <v>19</v>
      </c>
      <c r="I52" s="1">
        <f t="shared" si="16"/>
        <v>0</v>
      </c>
      <c r="J52" s="1">
        <f t="shared" si="17"/>
        <v>37</v>
      </c>
      <c r="K52" s="1">
        <f t="shared" si="22"/>
        <v>0</v>
      </c>
      <c r="L52" s="1">
        <f t="shared" si="18"/>
        <v>0</v>
      </c>
      <c r="M52" s="1">
        <f t="shared" si="23"/>
        <v>360</v>
      </c>
      <c r="N52" s="1">
        <f t="shared" si="19"/>
        <v>360</v>
      </c>
      <c r="O52" s="1">
        <f t="shared" si="20"/>
        <v>360</v>
      </c>
      <c r="P52" s="1">
        <f t="shared" si="24"/>
        <v>0</v>
      </c>
      <c r="Q52" s="1">
        <f t="shared" si="25"/>
        <v>0</v>
      </c>
      <c r="R52" s="1">
        <f t="shared" si="21"/>
        <v>26.875</v>
      </c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>
        <v>20</v>
      </c>
      <c r="I53" s="1">
        <f t="shared" si="16"/>
        <v>0</v>
      </c>
      <c r="J53" s="1">
        <f t="shared" si="17"/>
        <v>37</v>
      </c>
      <c r="K53" s="1">
        <f t="shared" si="22"/>
        <v>0</v>
      </c>
      <c r="L53" s="1">
        <f>IF(K53&lt;LBP,INDEX(x_array_sagging,J53+1),K53)</f>
        <v>0</v>
      </c>
      <c r="M53" s="1">
        <f t="shared" si="23"/>
        <v>360</v>
      </c>
      <c r="N53" s="1">
        <f t="shared" si="19"/>
        <v>360</v>
      </c>
      <c r="O53" s="1">
        <f>IF(K53&lt;LBP,(I53-K53)/(L53-K53)*(N53-M53)+M53,M53)</f>
        <v>360</v>
      </c>
      <c r="P53" s="1">
        <f t="shared" si="24"/>
        <v>0</v>
      </c>
      <c r="Q53" s="1">
        <f t="shared" si="25"/>
        <v>0</v>
      </c>
      <c r="R53" s="1">
        <f t="shared" si="21"/>
        <v>26.875</v>
      </c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Q59" s="1"/>
      <c r="R59" s="1"/>
      <c r="S59" s="1"/>
      <c r="T59" s="1"/>
      <c r="U59" s="1"/>
    </row>
    <row r="60" spans="1:21" ht="12.75">
      <c r="A60" s="1"/>
      <c r="B60" s="2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20">
      <selection activeCell="V37" sqref="V37"/>
    </sheetView>
  </sheetViews>
  <sheetFormatPr defaultColWidth="9.140625" defaultRowHeight="12.75"/>
  <sheetData>
    <row r="1" spans="6:17" ht="12.75">
      <c r="F1" t="s">
        <v>137</v>
      </c>
      <c r="I1" s="1" t="s">
        <v>138</v>
      </c>
      <c r="L1">
        <v>1.990575</v>
      </c>
      <c r="P1" s="1" t="s">
        <v>193</v>
      </c>
      <c r="Q1" s="17">
        <f>MIN(waterlines)</f>
        <v>0</v>
      </c>
    </row>
    <row r="2" spans="1:17" ht="12.75">
      <c r="A2" t="s">
        <v>86</v>
      </c>
      <c r="I2" s="1" t="s">
        <v>139</v>
      </c>
      <c r="L2">
        <v>32.17402</v>
      </c>
      <c r="P2" s="1" t="s">
        <v>194</v>
      </c>
      <c r="Q2" s="17">
        <f>MAX(waterlines)</f>
        <v>40</v>
      </c>
    </row>
    <row r="3" spans="9:16" ht="12.75">
      <c r="I3" s="1" t="s">
        <v>140</v>
      </c>
      <c r="L3">
        <v>2240</v>
      </c>
      <c r="P3" t="s">
        <v>195</v>
      </c>
    </row>
    <row r="4" spans="9:16" ht="12.75">
      <c r="I4" s="1" t="s">
        <v>141</v>
      </c>
      <c r="L4">
        <f>lbf_per_ton/gravity/sea_water_density</f>
        <v>34.975517213639655</v>
      </c>
      <c r="P4" t="s">
        <v>196</v>
      </c>
    </row>
    <row r="5" spans="1:16" ht="12.75">
      <c r="A5" s="4" t="s">
        <v>128</v>
      </c>
      <c r="I5" s="1"/>
      <c r="P5" t="s">
        <v>197</v>
      </c>
    </row>
    <row r="6" spans="1:16" ht="12.75">
      <c r="A6" t="s">
        <v>98</v>
      </c>
      <c r="D6" s="22">
        <v>26.87</v>
      </c>
      <c r="F6" t="s">
        <v>106</v>
      </c>
      <c r="I6" s="9">
        <f>W22</f>
        <v>0</v>
      </c>
      <c r="K6">
        <f>displacement</f>
        <v>0</v>
      </c>
      <c r="M6" s="23" t="e">
        <f>ABS((I6-K6)/K6)</f>
        <v>#DIV/0!</v>
      </c>
      <c r="P6" t="s">
        <v>197</v>
      </c>
    </row>
    <row r="7" spans="1:13" ht="12.75">
      <c r="A7" t="s">
        <v>99</v>
      </c>
      <c r="D7" s="24">
        <v>0</v>
      </c>
      <c r="F7" t="s">
        <v>107</v>
      </c>
      <c r="I7" s="25" t="e">
        <f>W23/W22*section_spacing</f>
        <v>#DIV/0!</v>
      </c>
      <c r="K7" t="e">
        <f>lcg</f>
        <v>#DIV/0!</v>
      </c>
      <c r="M7" s="23" t="e">
        <f>ABS((I7-K7)/(K7+LBP/2))</f>
        <v>#DIV/0!</v>
      </c>
    </row>
    <row r="8" ht="12.75">
      <c r="I8" s="1"/>
    </row>
    <row r="9" spans="1:9" ht="12.75">
      <c r="A9" t="s">
        <v>144</v>
      </c>
      <c r="I9" s="1"/>
    </row>
    <row r="10" spans="1:9" ht="12.75">
      <c r="A10" t="s">
        <v>87</v>
      </c>
      <c r="I10" s="1"/>
    </row>
    <row r="11" spans="1:22" ht="12.75">
      <c r="A11" t="s">
        <v>105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9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72</v>
      </c>
      <c r="B12" s="1">
        <f>'wave data'!R7</f>
        <v>26.87</v>
      </c>
      <c r="C12" s="1">
        <f>'wave data'!R8</f>
        <v>26.87</v>
      </c>
      <c r="D12" s="1">
        <f>'wave data'!R9</f>
        <v>26.87</v>
      </c>
      <c r="E12" s="1">
        <f>'wave data'!R10</f>
        <v>26.87</v>
      </c>
      <c r="F12" s="1">
        <f>'wave data'!R11</f>
        <v>26.87</v>
      </c>
      <c r="G12" s="1">
        <f>'wave data'!R12</f>
        <v>26.87</v>
      </c>
      <c r="H12" s="1">
        <f>'wave data'!R13</f>
        <v>26.87</v>
      </c>
      <c r="I12" s="1">
        <f>'wave data'!R14</f>
        <v>26.87</v>
      </c>
      <c r="J12" s="1">
        <f>'wave data'!R15</f>
        <v>26.87</v>
      </c>
      <c r="K12" s="1">
        <f>'wave data'!R16</f>
        <v>26.87</v>
      </c>
      <c r="L12" s="1">
        <f>'wave data'!R17</f>
        <v>26.87</v>
      </c>
      <c r="M12" s="1">
        <f>'wave data'!R18</f>
        <v>26.87</v>
      </c>
      <c r="N12" s="1">
        <f>'wave data'!R19</f>
        <v>26.87</v>
      </c>
      <c r="O12" s="1">
        <f>'wave data'!R20</f>
        <v>26.87</v>
      </c>
      <c r="P12" s="1">
        <f>'wave data'!R21</f>
        <v>26.87</v>
      </c>
      <c r="Q12" s="1">
        <f>'wave data'!R22</f>
        <v>26.87</v>
      </c>
      <c r="R12" s="1">
        <f>'wave data'!R23</f>
        <v>26.87</v>
      </c>
      <c r="S12" s="1">
        <f>'wave data'!R24</f>
        <v>26.87</v>
      </c>
      <c r="T12" s="1">
        <f>'wave data'!R25</f>
        <v>26.87</v>
      </c>
      <c r="U12" s="1">
        <f>'wave data'!R26</f>
        <v>26.87</v>
      </c>
      <c r="V12" s="1">
        <f>'wave data'!R27</f>
        <v>26.87</v>
      </c>
    </row>
    <row r="13" spans="1:22" ht="12.75">
      <c r="A13" t="s">
        <v>92</v>
      </c>
      <c r="B13">
        <f>IF(B12&gt;0,MATCH(B12,waterlines),1)</f>
        <v>10</v>
      </c>
      <c r="C13">
        <f aca="true" t="shared" si="0" ref="C13:L13">IF(C12&gt;0,MATCH(C12,waterlines),1)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aca="true" t="shared" si="1" ref="M13:V13">IF(M12&gt;0,MATCH(M12,waterlines),1)</f>
        <v>10</v>
      </c>
      <c r="N13">
        <f t="shared" si="1"/>
        <v>10</v>
      </c>
      <c r="O13">
        <f t="shared" si="1"/>
        <v>10</v>
      </c>
      <c r="P13">
        <f t="shared" si="1"/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</row>
    <row r="14" spans="1:22" ht="12.75">
      <c r="A14" t="s">
        <v>93</v>
      </c>
      <c r="B14">
        <f aca="true" t="shared" si="2" ref="B14:V14">INDEX(waterlines,B13)</f>
        <v>25</v>
      </c>
      <c r="C14">
        <f t="shared" si="2"/>
        <v>25</v>
      </c>
      <c r="D14">
        <f t="shared" si="2"/>
        <v>25</v>
      </c>
      <c r="E14">
        <f t="shared" si="2"/>
        <v>25</v>
      </c>
      <c r="F14">
        <f t="shared" si="2"/>
        <v>25</v>
      </c>
      <c r="G14">
        <f t="shared" si="2"/>
        <v>25</v>
      </c>
      <c r="H14">
        <f t="shared" si="2"/>
        <v>25</v>
      </c>
      <c r="I14">
        <f t="shared" si="2"/>
        <v>25</v>
      </c>
      <c r="J14">
        <f t="shared" si="2"/>
        <v>25</v>
      </c>
      <c r="K14">
        <f t="shared" si="2"/>
        <v>25</v>
      </c>
      <c r="L14">
        <f t="shared" si="2"/>
        <v>25</v>
      </c>
      <c r="M14">
        <f t="shared" si="2"/>
        <v>25</v>
      </c>
      <c r="N14">
        <f t="shared" si="2"/>
        <v>25</v>
      </c>
      <c r="O14">
        <f t="shared" si="2"/>
        <v>25</v>
      </c>
      <c r="P14">
        <f t="shared" si="2"/>
        <v>25</v>
      </c>
      <c r="Q14">
        <f t="shared" si="2"/>
        <v>25</v>
      </c>
      <c r="R14">
        <f t="shared" si="2"/>
        <v>25</v>
      </c>
      <c r="S14">
        <f t="shared" si="2"/>
        <v>25</v>
      </c>
      <c r="T14">
        <f t="shared" si="2"/>
        <v>25</v>
      </c>
      <c r="U14">
        <f t="shared" si="2"/>
        <v>25</v>
      </c>
      <c r="V14">
        <f t="shared" si="2"/>
        <v>25</v>
      </c>
    </row>
    <row r="15" spans="1:22" ht="12.75">
      <c r="A15" t="s">
        <v>94</v>
      </c>
      <c r="B15">
        <f>IF(B14&lt;max_draft,INDEX(waterlines,B13+1),B14)</f>
        <v>30</v>
      </c>
      <c r="C15">
        <f aca="true" t="shared" si="3" ref="C15:L15">IF(C14&lt;max_draft,INDEX(waterlines,C13+1),C14)</f>
        <v>30</v>
      </c>
      <c r="D15">
        <f t="shared" si="3"/>
        <v>30</v>
      </c>
      <c r="E15">
        <f t="shared" si="3"/>
        <v>30</v>
      </c>
      <c r="F15">
        <f t="shared" si="3"/>
        <v>30</v>
      </c>
      <c r="G15">
        <f t="shared" si="3"/>
        <v>30</v>
      </c>
      <c r="H15">
        <f t="shared" si="3"/>
        <v>30</v>
      </c>
      <c r="I15">
        <f t="shared" si="3"/>
        <v>30</v>
      </c>
      <c r="J15">
        <f t="shared" si="3"/>
        <v>30</v>
      </c>
      <c r="K15">
        <f t="shared" si="3"/>
        <v>30</v>
      </c>
      <c r="L15">
        <f t="shared" si="3"/>
        <v>30</v>
      </c>
      <c r="M15">
        <f aca="true" t="shared" si="4" ref="M15:V15">IF(M14&lt;max_draft,INDEX(waterlines,M13+1),M14)</f>
        <v>30</v>
      </c>
      <c r="N15">
        <f t="shared" si="4"/>
        <v>30</v>
      </c>
      <c r="O15">
        <f t="shared" si="4"/>
        <v>30</v>
      </c>
      <c r="P15">
        <f t="shared" si="4"/>
        <v>30</v>
      </c>
      <c r="Q15">
        <f t="shared" si="4"/>
        <v>30</v>
      </c>
      <c r="R15">
        <f t="shared" si="4"/>
        <v>30</v>
      </c>
      <c r="S15">
        <f t="shared" si="4"/>
        <v>30</v>
      </c>
      <c r="T15">
        <f t="shared" si="4"/>
        <v>30</v>
      </c>
      <c r="U15">
        <f t="shared" si="4"/>
        <v>30</v>
      </c>
      <c r="V15">
        <f t="shared" si="4"/>
        <v>30</v>
      </c>
    </row>
    <row r="16" spans="1:22" ht="12.75">
      <c r="A16" t="s">
        <v>95</v>
      </c>
      <c r="B16">
        <f>INDEX('bonjeans data'!B9:B21,B13)</f>
        <v>0</v>
      </c>
      <c r="C16">
        <f>INDEX('bonjeans data'!C9:C21,C13)</f>
        <v>0.15687973484848483</v>
      </c>
      <c r="D16">
        <f>INDEX('bonjeans data'!D9:D21,D13)</f>
        <v>0.707734375</v>
      </c>
      <c r="E16">
        <f>INDEX('bonjeans data'!E9:E21,E13)</f>
        <v>1.4746330492424242</v>
      </c>
      <c r="F16">
        <f>INDEX('bonjeans data'!F9:F21,F13)</f>
        <v>2.0340435606060603</v>
      </c>
      <c r="G16">
        <f>INDEX('bonjeans data'!G9:G21,G13)</f>
        <v>2.1239938446969697</v>
      </c>
      <c r="H16">
        <f>INDEX('bonjeans data'!H9:H21,H13)</f>
        <v>2.2141690340909093</v>
      </c>
      <c r="I16">
        <f>INDEX('bonjeans data'!I9:I21,I13)</f>
        <v>2.307327178030303</v>
      </c>
      <c r="J16">
        <f>INDEX('bonjeans data'!J9:J21,J13)</f>
        <v>0</v>
      </c>
      <c r="K16">
        <f>INDEX('bonjeans data'!K9:K21,K13)</f>
        <v>0</v>
      </c>
      <c r="L16">
        <f>INDEX('bonjeans data'!L9:L21,L13)</f>
        <v>0</v>
      </c>
      <c r="M16">
        <f>INDEX('bonjeans data'!M9:M21,M13)</f>
        <v>0</v>
      </c>
      <c r="N16">
        <f>INDEX('bonjeans data'!N9:N21,N13)</f>
        <v>2.261792696976474</v>
      </c>
      <c r="O16">
        <f>INDEX('bonjeans data'!O9:O21,O13)</f>
        <v>2.1451603242334794</v>
      </c>
      <c r="P16">
        <f>INDEX('bonjeans data'!P9:P21,P13)</f>
        <v>2.0365833922448435</v>
      </c>
      <c r="Q16">
        <f>INDEX('bonjeans data'!Q9:Q21,Q13)</f>
        <v>1.9312712203857276</v>
      </c>
      <c r="R16">
        <f>INDEX('bonjeans data'!R9:R21,R13)</f>
        <v>1.826585977102208</v>
      </c>
      <c r="S16">
        <f>INDEX('bonjeans data'!S9:S21,S13)</f>
        <v>1.6269979420826794</v>
      </c>
      <c r="T16">
        <f>INDEX('bonjeans data'!T9:T21,T13)</f>
        <v>1.372772490257888</v>
      </c>
      <c r="U16">
        <f>INDEX('bonjeans data'!U9:U21,U13)</f>
        <v>1.1516299410788984</v>
      </c>
      <c r="V16">
        <f>INDEX('bonjeans data'!V9:V21,V13)</f>
        <v>0.5017865346025847</v>
      </c>
    </row>
    <row r="17" spans="1:22" ht="12.75">
      <c r="A17" t="s">
        <v>96</v>
      </c>
      <c r="B17">
        <f>INDEX('bonjeans data'!B9:B21,IF(B12&gt;max_draft,B13,B13+1))</f>
        <v>0.05635298295454545</v>
      </c>
      <c r="C17">
        <f>INDEX('bonjeans data'!C9:C21,IF(C12&gt;max_draft,C13,C13+1))</f>
        <v>0.4980255681818182</v>
      </c>
      <c r="D17">
        <f>INDEX('bonjeans data'!D9:D21,IF(D12&gt;max_draft,D13,D13+1))</f>
        <v>1.1319247159090908</v>
      </c>
      <c r="E17">
        <f>INDEX('bonjeans data'!E9:E21,IF(E12&gt;max_draft,E13,E13+1))</f>
        <v>1.9465317234848483</v>
      </c>
      <c r="F17">
        <f>INDEX('bonjeans data'!F9:F21,IF(F12&gt;max_draft,F13,F13+1))</f>
        <v>2.533889678030303</v>
      </c>
      <c r="G17">
        <f>INDEX('bonjeans data'!G9:G21,IF(G12&gt;max_draft,G13,G13+1))</f>
        <v>2.6243252840909093</v>
      </c>
      <c r="H17">
        <f>INDEX('bonjeans data'!H9:H21,IF(H12&gt;max_draft,H13,H13+1))</f>
        <v>2.7145123106060605</v>
      </c>
      <c r="I17">
        <f>INDEX('bonjeans data'!I9:I21,IF(I12&gt;max_draft,I13,I13+1))</f>
        <v>2.8080255681818183</v>
      </c>
      <c r="J17">
        <f>INDEX('bonjeans data'!J9:J21,IF(J12&gt;max_draft,J13,J13+1))</f>
        <v>0</v>
      </c>
      <c r="K17">
        <f>INDEX('bonjeans data'!K9:K21,IF(K12&gt;max_draft,K13,K13+1))</f>
        <v>0</v>
      </c>
      <c r="L17">
        <f>INDEX('bonjeans data'!L9:L21,IF(L12&gt;max_draft,L13,L13+1))</f>
        <v>0</v>
      </c>
      <c r="M17">
        <f>INDEX('bonjeans data'!M9:M21,IF(M12&gt;max_draft,M13,M13+1))</f>
        <v>0</v>
      </c>
      <c r="N17">
        <f>INDEX('bonjeans data'!N9:N21,IF(N12&gt;max_draft,N13,N13+1))</f>
        <v>2.7618687811633755</v>
      </c>
      <c r="O17">
        <f>INDEX('bonjeans data'!O9:O21,IF(O12&gt;max_draft,O13,O13+1))</f>
        <v>2.6451536065330377</v>
      </c>
      <c r="P17">
        <f>INDEX('bonjeans data'!P9:P21,IF(P12&gt;max_draft,P13,P13+1))</f>
        <v>2.536564845703353</v>
      </c>
      <c r="Q17">
        <f>INDEX('bonjeans data'!Q9:Q21,IF(Q12&gt;max_draft,Q13,Q13+1))</f>
        <v>2.431240845003188</v>
      </c>
      <c r="R17">
        <f>INDEX('bonjeans data'!R9:R21,IF(R12&gt;max_draft,R13,R13+1))</f>
        <v>2.3256684386409945</v>
      </c>
      <c r="S17">
        <f>INDEX('bonjeans data'!S9:S21,IF(S12&gt;max_draft,S13,S13+1))</f>
        <v>2.1107620544630303</v>
      </c>
      <c r="T17">
        <f>INDEX('bonjeans data'!T9:T21,IF(T12&gt;max_draft,T13,T13+1))</f>
        <v>1.8301346294169036</v>
      </c>
      <c r="U17">
        <f>INDEX('bonjeans data'!U9:U21,IF(U12&gt;max_draft,U13,U13+1))</f>
        <v>1.5833613474529726</v>
      </c>
      <c r="V17">
        <f>INDEX('bonjeans data'!V9:V21,IF(V12&gt;max_draft,V13,V13+1))</f>
        <v>0.7090160009397577</v>
      </c>
    </row>
    <row r="18" spans="1:22" ht="12.75">
      <c r="A18" t="s">
        <v>127</v>
      </c>
      <c r="B18">
        <f aca="true" t="shared" si="5" ref="B18:V18">(B12-B14)/(B15-B14)*(B17-B16)+B16</f>
        <v>0.02107601562500001</v>
      </c>
      <c r="C18">
        <f t="shared" si="5"/>
        <v>0.2844682765151516</v>
      </c>
      <c r="D18">
        <f t="shared" si="5"/>
        <v>0.8663815625000001</v>
      </c>
      <c r="E18">
        <f t="shared" si="5"/>
        <v>1.6511231534090909</v>
      </c>
      <c r="F18">
        <f t="shared" si="5"/>
        <v>2.2209860085227273</v>
      </c>
      <c r="G18">
        <f t="shared" si="5"/>
        <v>2.311117803030303</v>
      </c>
      <c r="H18">
        <f t="shared" si="5"/>
        <v>2.401297419507576</v>
      </c>
      <c r="I18" s="1">
        <f t="shared" si="5"/>
        <v>2.49458837594697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2.4488211524623753</v>
      </c>
      <c r="O18">
        <f t="shared" si="5"/>
        <v>2.3321578118135142</v>
      </c>
      <c r="P18">
        <f t="shared" si="5"/>
        <v>2.223576455838326</v>
      </c>
      <c r="Q18">
        <f t="shared" si="5"/>
        <v>2.118259859992658</v>
      </c>
      <c r="R18">
        <f t="shared" si="5"/>
        <v>2.0132428177177144</v>
      </c>
      <c r="S18">
        <f t="shared" si="5"/>
        <v>1.8079257201129308</v>
      </c>
      <c r="T18">
        <f t="shared" si="5"/>
        <v>1.54382593030336</v>
      </c>
      <c r="U18">
        <f t="shared" si="5"/>
        <v>1.3130974870628023</v>
      </c>
      <c r="V18">
        <f t="shared" si="5"/>
        <v>0.5792903550126874</v>
      </c>
    </row>
    <row r="19" spans="1:22" ht="12.75">
      <c r="A19" t="s">
        <v>126</v>
      </c>
      <c r="B19" s="1">
        <f>'wave data'!P7</f>
        <v>0</v>
      </c>
      <c r="C19" s="1">
        <f>'wave data'!P8</f>
        <v>0</v>
      </c>
      <c r="D19" s="1">
        <f>'wave data'!P9</f>
        <v>0</v>
      </c>
      <c r="E19" s="1">
        <f>'wave data'!P10</f>
        <v>0</v>
      </c>
      <c r="F19" s="1">
        <f>'wave data'!P11</f>
        <v>0</v>
      </c>
      <c r="G19" s="1">
        <f>'wave data'!P12</f>
        <v>0</v>
      </c>
      <c r="H19" s="1">
        <f>'wave data'!P13</f>
        <v>0</v>
      </c>
      <c r="I19" s="1">
        <f>'wave data'!P14</f>
        <v>0</v>
      </c>
      <c r="J19" s="1">
        <f>'wave data'!P15</f>
        <v>0</v>
      </c>
      <c r="K19" s="1">
        <f>'wave data'!P16</f>
        <v>0</v>
      </c>
      <c r="L19" s="1">
        <f>'wave data'!P17</f>
        <v>0</v>
      </c>
      <c r="M19" s="1">
        <f>'wave data'!P18</f>
        <v>0</v>
      </c>
      <c r="N19" s="1">
        <f>'wave data'!P19</f>
        <v>0</v>
      </c>
      <c r="O19" s="1">
        <f>'wave data'!P20</f>
        <v>0</v>
      </c>
      <c r="P19" s="1">
        <f>'wave data'!P21</f>
        <v>0</v>
      </c>
      <c r="Q19" s="1">
        <f>'wave data'!P22</f>
        <v>0</v>
      </c>
      <c r="R19" s="1">
        <f>'wave data'!P23</f>
        <v>0</v>
      </c>
      <c r="S19" s="1">
        <f>'wave data'!P24</f>
        <v>0</v>
      </c>
      <c r="T19" s="1">
        <f>'wave data'!P25</f>
        <v>0</v>
      </c>
      <c r="U19" s="1">
        <f>'wave data'!P26</f>
        <v>0</v>
      </c>
      <c r="V19" s="1">
        <f>'wave data'!P27</f>
        <v>0</v>
      </c>
    </row>
    <row r="20" spans="1:22" ht="12.75">
      <c r="A20" t="s">
        <v>109</v>
      </c>
      <c r="B20">
        <f>B18*sa_scale_factor</f>
        <v>12.645609375000006</v>
      </c>
      <c r="C20">
        <f>C18*sa_scale_factor</f>
        <v>170.68096590909096</v>
      </c>
      <c r="D20">
        <f>D18*sa_scale_factor</f>
        <v>519.8289375</v>
      </c>
      <c r="E20">
        <f>E18*sa_scale_factor</f>
        <v>990.6738920454545</v>
      </c>
      <c r="F20">
        <f>F18*sa_scale_factor</f>
        <v>1332.5916051136364</v>
      </c>
      <c r="G20">
        <f aca="true" t="shared" si="6" ref="G20:U20">G18*sa_scale_factor</f>
        <v>1386.6706818181817</v>
      </c>
      <c r="H20">
        <f t="shared" si="6"/>
        <v>1440.7784517045454</v>
      </c>
      <c r="I20">
        <f t="shared" si="6"/>
        <v>1496.7530255681818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1469.2926914774253</v>
      </c>
      <c r="O20">
        <f t="shared" si="6"/>
        <v>1399.2946870881085</v>
      </c>
      <c r="P20">
        <f t="shared" si="6"/>
        <v>1334.1458735029958</v>
      </c>
      <c r="Q20">
        <f t="shared" si="6"/>
        <v>1270.9559159955948</v>
      </c>
      <c r="R20">
        <f t="shared" si="6"/>
        <v>1207.9456906306286</v>
      </c>
      <c r="S20">
        <f t="shared" si="6"/>
        <v>1084.7554320677584</v>
      </c>
      <c r="T20">
        <f t="shared" si="6"/>
        <v>926.295558182016</v>
      </c>
      <c r="U20">
        <f t="shared" si="6"/>
        <v>787.8584922376814</v>
      </c>
      <c r="V20">
        <f>V18*sa_scale_factor</f>
        <v>347.57421300761246</v>
      </c>
    </row>
    <row r="21" spans="1:22" ht="12.75">
      <c r="A21" t="s">
        <v>134</v>
      </c>
      <c r="B21">
        <f aca="true" t="shared" si="7" ref="B21:V21">B20*section_spacing/cu_ft_per_ton</f>
        <v>0</v>
      </c>
      <c r="C21">
        <f t="shared" si="7"/>
        <v>0</v>
      </c>
      <c r="D21">
        <f t="shared" si="7"/>
        <v>0</v>
      </c>
      <c r="E21">
        <f t="shared" si="7"/>
        <v>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  <c r="M21">
        <f t="shared" si="7"/>
        <v>0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</row>
    <row r="22" spans="1:23" ht="12.75">
      <c r="A22" t="s">
        <v>143</v>
      </c>
      <c r="B22">
        <f aca="true" t="shared" si="8" ref="B22:U22">(B21+C21)/2</f>
        <v>0</v>
      </c>
      <c r="C22">
        <f t="shared" si="8"/>
        <v>0</v>
      </c>
      <c r="D22">
        <f t="shared" si="8"/>
        <v>0</v>
      </c>
      <c r="E22">
        <f t="shared" si="8"/>
        <v>0</v>
      </c>
      <c r="F22">
        <f t="shared" si="8"/>
        <v>0</v>
      </c>
      <c r="G22">
        <f t="shared" si="8"/>
        <v>0</v>
      </c>
      <c r="H22">
        <f t="shared" si="8"/>
        <v>0</v>
      </c>
      <c r="I22">
        <f t="shared" si="8"/>
        <v>0</v>
      </c>
      <c r="J22">
        <f t="shared" si="8"/>
        <v>0</v>
      </c>
      <c r="K22">
        <f t="shared" si="8"/>
        <v>0</v>
      </c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0</v>
      </c>
      <c r="U22">
        <f t="shared" si="8"/>
        <v>0</v>
      </c>
      <c r="V22" s="1"/>
      <c r="W22">
        <f>SUM(B22:V22)</f>
        <v>0</v>
      </c>
    </row>
    <row r="23" spans="1:23" ht="12.75">
      <c r="A23" t="s">
        <v>108</v>
      </c>
      <c r="B23" s="1">
        <f aca="true" t="shared" si="9" ref="B23:U23">B22*(9.5-B11)</f>
        <v>0</v>
      </c>
      <c r="C23" s="1">
        <f t="shared" si="9"/>
        <v>0</v>
      </c>
      <c r="D23" s="1">
        <f t="shared" si="9"/>
        <v>0</v>
      </c>
      <c r="E23" s="1">
        <f t="shared" si="9"/>
        <v>0</v>
      </c>
      <c r="F23" s="1">
        <f t="shared" si="9"/>
        <v>0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t="shared" si="9"/>
        <v>0</v>
      </c>
      <c r="Q23" s="1">
        <f t="shared" si="9"/>
        <v>0</v>
      </c>
      <c r="R23" s="1">
        <f t="shared" si="9"/>
        <v>0</v>
      </c>
      <c r="S23" s="1">
        <f t="shared" si="9"/>
        <v>0</v>
      </c>
      <c r="T23" s="1">
        <f t="shared" si="9"/>
        <v>0</v>
      </c>
      <c r="U23" s="1">
        <f t="shared" si="9"/>
        <v>0</v>
      </c>
      <c r="V23" s="1"/>
      <c r="W23">
        <f>SUM(B23:V23)</f>
        <v>0</v>
      </c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9" ht="12.75">
      <c r="A25" s="4" t="s">
        <v>129</v>
      </c>
      <c r="I25" s="1"/>
    </row>
    <row r="26" spans="1:13" ht="12.75">
      <c r="A26" t="s">
        <v>100</v>
      </c>
      <c r="D26" s="22">
        <v>26.875</v>
      </c>
      <c r="F26" t="s">
        <v>106</v>
      </c>
      <c r="I26" s="1">
        <f>W41</f>
        <v>0</v>
      </c>
      <c r="K26">
        <f>displacement</f>
        <v>0</v>
      </c>
      <c r="M26" s="23" t="e">
        <f>ABS((I26-K26)/K26)</f>
        <v>#DIV/0!</v>
      </c>
    </row>
    <row r="27" spans="1:13" ht="12.75">
      <c r="A27" t="s">
        <v>101</v>
      </c>
      <c r="D27" s="24">
        <v>0</v>
      </c>
      <c r="F27" t="s">
        <v>107</v>
      </c>
      <c r="I27" s="1" t="e">
        <f>W42/W41*section_spacing</f>
        <v>#DIV/0!</v>
      </c>
      <c r="K27" t="e">
        <f>lcg</f>
        <v>#DIV/0!</v>
      </c>
      <c r="M27" s="23" t="e">
        <f>ABS((I27-K27)/(K27+LBP/2))</f>
        <v>#DIV/0!</v>
      </c>
    </row>
    <row r="28" spans="9:22" ht="12.75">
      <c r="I28" s="1"/>
      <c r="V28" s="1">
        <f>'wave data'!T28</f>
        <v>0</v>
      </c>
    </row>
    <row r="29" spans="1:9" ht="12.75">
      <c r="A29" t="s">
        <v>88</v>
      </c>
      <c r="I29" s="1"/>
    </row>
    <row r="30" spans="1:22" ht="12.75">
      <c r="A30" t="s">
        <v>105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9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72</v>
      </c>
      <c r="B31" s="1">
        <f>'wave data'!R33</f>
        <v>26.875</v>
      </c>
      <c r="C31" s="1">
        <f>'wave data'!R34</f>
        <v>26.875</v>
      </c>
      <c r="D31" s="1">
        <f>'wave data'!R35</f>
        <v>26.875</v>
      </c>
      <c r="E31" s="1">
        <f>'wave data'!R36</f>
        <v>26.875</v>
      </c>
      <c r="F31" s="1">
        <f>'wave data'!R37</f>
        <v>26.875</v>
      </c>
      <c r="G31" s="1">
        <f>'wave data'!R38</f>
        <v>26.875</v>
      </c>
      <c r="H31" s="1">
        <f>'wave data'!R39</f>
        <v>26.875</v>
      </c>
      <c r="I31" s="1">
        <f>'wave data'!R40</f>
        <v>26.875</v>
      </c>
      <c r="J31" s="1">
        <f>'wave data'!R41</f>
        <v>26.875</v>
      </c>
      <c r="K31" s="1">
        <f>'wave data'!R42</f>
        <v>26.875</v>
      </c>
      <c r="L31" s="1">
        <f>'wave data'!R43</f>
        <v>26.875</v>
      </c>
      <c r="M31" s="1">
        <f>'wave data'!R44</f>
        <v>26.875</v>
      </c>
      <c r="N31" s="1">
        <f>'wave data'!R45</f>
        <v>26.875</v>
      </c>
      <c r="O31" s="1">
        <f>'wave data'!R46</f>
        <v>26.875</v>
      </c>
      <c r="P31" s="1">
        <f>'wave data'!R47</f>
        <v>26.875</v>
      </c>
      <c r="Q31" s="1">
        <f>'wave data'!R48</f>
        <v>26.875</v>
      </c>
      <c r="R31" s="1">
        <f>'wave data'!R49</f>
        <v>26.875</v>
      </c>
      <c r="S31" s="1">
        <f>'wave data'!R50</f>
        <v>26.875</v>
      </c>
      <c r="T31" s="1">
        <f>'wave data'!R51</f>
        <v>26.875</v>
      </c>
      <c r="U31" s="1">
        <f>'wave data'!R52</f>
        <v>26.875</v>
      </c>
      <c r="V31" s="1">
        <f>'wave data'!R53</f>
        <v>26.875</v>
      </c>
    </row>
    <row r="32" spans="1:22" ht="12.75">
      <c r="A32" t="s">
        <v>92</v>
      </c>
      <c r="B32">
        <f>IF(B31&gt;0,MATCH(B31,waterlines),1)</f>
        <v>10</v>
      </c>
      <c r="C32">
        <f aca="true" t="shared" si="10" ref="C32:V32">IF(C31&gt;0,MATCH(C31,waterlines),1)</f>
        <v>10</v>
      </c>
      <c r="D32">
        <f t="shared" si="10"/>
        <v>10</v>
      </c>
      <c r="E32">
        <f t="shared" si="10"/>
        <v>10</v>
      </c>
      <c r="F32">
        <f t="shared" si="10"/>
        <v>10</v>
      </c>
      <c r="G32">
        <f t="shared" si="10"/>
        <v>10</v>
      </c>
      <c r="H32">
        <f t="shared" si="10"/>
        <v>10</v>
      </c>
      <c r="I32">
        <f t="shared" si="10"/>
        <v>10</v>
      </c>
      <c r="J32">
        <f t="shared" si="10"/>
        <v>10</v>
      </c>
      <c r="K32">
        <f t="shared" si="10"/>
        <v>10</v>
      </c>
      <c r="L32">
        <f t="shared" si="10"/>
        <v>10</v>
      </c>
      <c r="M32">
        <f t="shared" si="10"/>
        <v>10</v>
      </c>
      <c r="N32">
        <f t="shared" si="10"/>
        <v>10</v>
      </c>
      <c r="O32">
        <f t="shared" si="10"/>
        <v>10</v>
      </c>
      <c r="P32">
        <f t="shared" si="10"/>
        <v>10</v>
      </c>
      <c r="Q32">
        <f t="shared" si="10"/>
        <v>10</v>
      </c>
      <c r="R32">
        <f t="shared" si="10"/>
        <v>10</v>
      </c>
      <c r="S32">
        <f t="shared" si="10"/>
        <v>10</v>
      </c>
      <c r="T32">
        <f t="shared" si="10"/>
        <v>10</v>
      </c>
      <c r="U32">
        <f t="shared" si="10"/>
        <v>10</v>
      </c>
      <c r="V32">
        <f t="shared" si="10"/>
        <v>10</v>
      </c>
    </row>
    <row r="33" spans="1:22" ht="12.75">
      <c r="A33" t="s">
        <v>93</v>
      </c>
      <c r="B33">
        <f>INDEX(waterlines,B32)</f>
        <v>25</v>
      </c>
      <c r="C33">
        <f aca="true" t="shared" si="11" ref="C33:V33">INDEX(waterlines,C32)</f>
        <v>25</v>
      </c>
      <c r="D33">
        <f t="shared" si="11"/>
        <v>25</v>
      </c>
      <c r="E33">
        <f t="shared" si="11"/>
        <v>25</v>
      </c>
      <c r="F33">
        <f t="shared" si="11"/>
        <v>25</v>
      </c>
      <c r="G33">
        <f t="shared" si="11"/>
        <v>25</v>
      </c>
      <c r="H33">
        <f t="shared" si="11"/>
        <v>25</v>
      </c>
      <c r="I33">
        <f t="shared" si="11"/>
        <v>25</v>
      </c>
      <c r="J33">
        <f t="shared" si="11"/>
        <v>25</v>
      </c>
      <c r="K33">
        <f t="shared" si="11"/>
        <v>25</v>
      </c>
      <c r="L33">
        <f t="shared" si="11"/>
        <v>25</v>
      </c>
      <c r="M33">
        <f t="shared" si="11"/>
        <v>25</v>
      </c>
      <c r="N33">
        <f t="shared" si="11"/>
        <v>25</v>
      </c>
      <c r="O33">
        <f t="shared" si="11"/>
        <v>25</v>
      </c>
      <c r="P33">
        <f t="shared" si="11"/>
        <v>25</v>
      </c>
      <c r="Q33">
        <f t="shared" si="11"/>
        <v>25</v>
      </c>
      <c r="R33">
        <f t="shared" si="11"/>
        <v>25</v>
      </c>
      <c r="S33">
        <f t="shared" si="11"/>
        <v>25</v>
      </c>
      <c r="T33">
        <f t="shared" si="11"/>
        <v>25</v>
      </c>
      <c r="U33">
        <f t="shared" si="11"/>
        <v>25</v>
      </c>
      <c r="V33">
        <f t="shared" si="11"/>
        <v>25</v>
      </c>
    </row>
    <row r="34" spans="1:22" ht="12.75">
      <c r="A34" t="s">
        <v>94</v>
      </c>
      <c r="B34">
        <f>IF(B33&lt;max_draft,INDEX(waterlines,B32+1),B33)</f>
        <v>30</v>
      </c>
      <c r="C34">
        <f aca="true" t="shared" si="12" ref="C34:V34">IF(C33&lt;max_draft,INDEX(waterlines,C32+1),C33)</f>
        <v>30</v>
      </c>
      <c r="D34">
        <f t="shared" si="12"/>
        <v>30</v>
      </c>
      <c r="E34">
        <f t="shared" si="12"/>
        <v>30</v>
      </c>
      <c r="F34">
        <f t="shared" si="12"/>
        <v>30</v>
      </c>
      <c r="G34">
        <f t="shared" si="12"/>
        <v>30</v>
      </c>
      <c r="H34">
        <f t="shared" si="12"/>
        <v>30</v>
      </c>
      <c r="I34">
        <f t="shared" si="12"/>
        <v>30</v>
      </c>
      <c r="J34">
        <f t="shared" si="12"/>
        <v>30</v>
      </c>
      <c r="K34">
        <f t="shared" si="12"/>
        <v>30</v>
      </c>
      <c r="L34">
        <f t="shared" si="12"/>
        <v>30</v>
      </c>
      <c r="M34">
        <f t="shared" si="12"/>
        <v>30</v>
      </c>
      <c r="N34">
        <f t="shared" si="12"/>
        <v>30</v>
      </c>
      <c r="O34">
        <f t="shared" si="12"/>
        <v>30</v>
      </c>
      <c r="P34">
        <f t="shared" si="12"/>
        <v>30</v>
      </c>
      <c r="Q34">
        <f t="shared" si="12"/>
        <v>30</v>
      </c>
      <c r="R34">
        <f t="shared" si="12"/>
        <v>30</v>
      </c>
      <c r="S34">
        <f t="shared" si="12"/>
        <v>30</v>
      </c>
      <c r="T34">
        <f t="shared" si="12"/>
        <v>30</v>
      </c>
      <c r="U34">
        <f t="shared" si="12"/>
        <v>30</v>
      </c>
      <c r="V34">
        <f t="shared" si="12"/>
        <v>30</v>
      </c>
    </row>
    <row r="35" spans="1:22" ht="12.75">
      <c r="A35" t="s">
        <v>95</v>
      </c>
      <c r="B35">
        <f>INDEX('bonjeans data'!B9:B21,B32)</f>
        <v>0</v>
      </c>
      <c r="C35">
        <f>INDEX('bonjeans data'!C9:C21,C32)</f>
        <v>0.15687973484848483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2.0340435606060603</v>
      </c>
      <c r="G35">
        <f>INDEX('bonjeans data'!G9:G21,G32)</f>
        <v>2.1239938446969697</v>
      </c>
      <c r="H35">
        <f>INDEX('bonjeans data'!H9:H21,H32)</f>
        <v>2.2141690340909093</v>
      </c>
      <c r="I35">
        <f>INDEX('bonjeans data'!I9:I21,I32)</f>
        <v>2.307327178030303</v>
      </c>
      <c r="J35">
        <f>INDEX('bonjeans data'!J9:J21,J32)</f>
        <v>0</v>
      </c>
      <c r="K35">
        <f>INDEX('bonjeans data'!K9:K21,K32)</f>
        <v>0</v>
      </c>
      <c r="L35">
        <f>INDEX('bonjeans data'!L9:L21,L32)</f>
        <v>0</v>
      </c>
      <c r="M35">
        <f>INDEX('bonjeans data'!M9:M21,M32)</f>
        <v>0</v>
      </c>
      <c r="N35">
        <f>INDEX('bonjeans data'!N9:N21,N32)</f>
        <v>2.261792696976474</v>
      </c>
      <c r="O35">
        <f>INDEX('bonjeans data'!O9:O21,O32)</f>
        <v>2.1451603242334794</v>
      </c>
      <c r="P35">
        <f>INDEX('bonjeans data'!P9:P21,P32)</f>
        <v>2.0365833922448435</v>
      </c>
      <c r="Q35">
        <f>INDEX('bonjeans data'!Q9:Q21,Q32)</f>
        <v>1.9312712203857276</v>
      </c>
      <c r="R35">
        <f>INDEX('bonjeans data'!R9:R21,R32)</f>
        <v>1.826585977102208</v>
      </c>
      <c r="S35">
        <f>INDEX('bonjeans data'!S9:S21,S32)</f>
        <v>1.6269979420826794</v>
      </c>
      <c r="T35">
        <f>INDEX('bonjeans data'!T9:T21,T32)</f>
        <v>1.372772490257888</v>
      </c>
      <c r="U35">
        <f>INDEX('bonjeans data'!U9:U21,U32)</f>
        <v>1.1516299410788984</v>
      </c>
      <c r="V35">
        <f>INDEX('bonjeans data'!V9:V21,V32)</f>
        <v>0.5017865346025847</v>
      </c>
    </row>
    <row r="36" spans="1:22" ht="12.75">
      <c r="A36" t="s">
        <v>96</v>
      </c>
      <c r="B36">
        <f>INDEX('bonjeans data'!B9:B21,IF(B31&gt;max_draft,B32,B32+1))</f>
        <v>0.05635298295454545</v>
      </c>
      <c r="C36">
        <f>INDEX('bonjeans data'!C9:C21,IF(C31&gt;max_draft,C32,C32+1))</f>
        <v>0.4980255681818182</v>
      </c>
      <c r="D36">
        <f>INDEX('bonjeans data'!D9:D21,IF(D31&gt;max_draft,D32,D32+1))</f>
        <v>1.1319247159090908</v>
      </c>
      <c r="E36">
        <f>INDEX('bonjeans data'!E9:E21,IF(E31&gt;max_draft,E32,E32+1))</f>
        <v>1.9465317234848483</v>
      </c>
      <c r="F36">
        <f>INDEX('bonjeans data'!F9:F21,IF(F31&gt;max_draft,F32,F32+1))</f>
        <v>2.533889678030303</v>
      </c>
      <c r="G36">
        <f>INDEX('bonjeans data'!G9:G21,IF(G31&gt;max_draft,G32,G32+1))</f>
        <v>2.6243252840909093</v>
      </c>
      <c r="H36">
        <f>INDEX('bonjeans data'!H9:H21,IF(H31&gt;max_draft,H32,H32+1))</f>
        <v>2.7145123106060605</v>
      </c>
      <c r="I36">
        <f>INDEX('bonjeans data'!I9:I21,IF(I31&gt;max_draft,I32,I32+1))</f>
        <v>2.8080255681818183</v>
      </c>
      <c r="J36">
        <f>INDEX('bonjeans data'!J9:J21,IF(J31&gt;max_draft,J32,J32+1))</f>
        <v>0</v>
      </c>
      <c r="K36">
        <f>INDEX('bonjeans data'!K9:K21,IF(K31&gt;max_draft,K32,K32+1))</f>
        <v>0</v>
      </c>
      <c r="L36">
        <f>INDEX('bonjeans data'!L9:L21,IF(L31&gt;max_draft,L32,L32+1))</f>
        <v>0</v>
      </c>
      <c r="M36">
        <f>INDEX('bonjeans data'!M9:M21,IF(M31&gt;max_draft,M32,M32+1))</f>
        <v>0</v>
      </c>
      <c r="N36">
        <f>INDEX('bonjeans data'!N9:N21,IF(N31&gt;max_draft,N32,N32+1))</f>
        <v>2.7618687811633755</v>
      </c>
      <c r="O36">
        <f>INDEX('bonjeans data'!O9:O21,IF(O31&gt;max_draft,O32,O32+1))</f>
        <v>2.6451536065330377</v>
      </c>
      <c r="P36">
        <f>INDEX('bonjeans data'!P9:P21,IF(P31&gt;max_draft,P32,P32+1))</f>
        <v>2.536564845703353</v>
      </c>
      <c r="Q36">
        <f>INDEX('bonjeans data'!Q9:Q21,IF(Q31&gt;max_draft,Q32,Q32+1))</f>
        <v>2.431240845003188</v>
      </c>
      <c r="R36">
        <f>INDEX('bonjeans data'!R9:R21,IF(R31&gt;max_draft,R32,R32+1))</f>
        <v>2.3256684386409945</v>
      </c>
      <c r="S36">
        <f>INDEX('bonjeans data'!S9:S21,IF(S31&gt;max_draft,S32,S32+1))</f>
        <v>2.1107620544630303</v>
      </c>
      <c r="T36">
        <f>INDEX('bonjeans data'!T9:T21,IF(T31&gt;max_draft,T32,T32+1))</f>
        <v>1.8301346294169036</v>
      </c>
      <c r="U36">
        <f>INDEX('bonjeans data'!U9:U21,IF(U31&gt;max_draft,U32,U32+1))</f>
        <v>1.5833613474529726</v>
      </c>
      <c r="V36">
        <f>INDEX('bonjeans data'!V9:V21,IF(V31&gt;max_draft,V32,V32+1))</f>
        <v>0.7090160009397577</v>
      </c>
    </row>
    <row r="37" spans="1:22" ht="12.75">
      <c r="A37" t="s">
        <v>130</v>
      </c>
      <c r="B37">
        <f>(B31-B33)/(B34-B33)*(B36-B35)+B35</f>
        <v>0.021132368607954546</v>
      </c>
      <c r="C37">
        <f aca="true" t="shared" si="13" ref="C37:V37">(C31-C33)/(C34-C33)*(C36-C35)+C35</f>
        <v>0.28480942234848483</v>
      </c>
      <c r="D37">
        <f t="shared" si="13"/>
        <v>0.8668057528409091</v>
      </c>
      <c r="E37">
        <f t="shared" si="13"/>
        <v>1.6515950520833331</v>
      </c>
      <c r="F37">
        <f t="shared" si="13"/>
        <v>2.221485854640151</v>
      </c>
      <c r="G37">
        <f t="shared" si="13"/>
        <v>2.311618134469697</v>
      </c>
      <c r="H37">
        <f t="shared" si="13"/>
        <v>2.401797762784091</v>
      </c>
      <c r="I37" s="1">
        <f t="shared" si="13"/>
        <v>2.495089074337121</v>
      </c>
      <c r="J37">
        <f t="shared" si="13"/>
        <v>0</v>
      </c>
      <c r="K37">
        <f t="shared" si="13"/>
        <v>0</v>
      </c>
      <c r="L37">
        <f t="shared" si="13"/>
        <v>0</v>
      </c>
      <c r="M37">
        <f t="shared" si="13"/>
        <v>0</v>
      </c>
      <c r="N37">
        <f t="shared" si="13"/>
        <v>2.449321228546562</v>
      </c>
      <c r="O37">
        <f t="shared" si="13"/>
        <v>2.3326578050958138</v>
      </c>
      <c r="P37">
        <f t="shared" si="13"/>
        <v>2.2240764372917847</v>
      </c>
      <c r="Q37">
        <f t="shared" si="13"/>
        <v>2.118759829617275</v>
      </c>
      <c r="R37">
        <f t="shared" si="13"/>
        <v>2.013741900179253</v>
      </c>
      <c r="S37">
        <f t="shared" si="13"/>
        <v>1.8084094842253111</v>
      </c>
      <c r="T37">
        <f t="shared" si="13"/>
        <v>1.5442832924425187</v>
      </c>
      <c r="U37">
        <f t="shared" si="13"/>
        <v>1.3135292184691763</v>
      </c>
      <c r="V37">
        <f t="shared" si="13"/>
        <v>0.5794975844790246</v>
      </c>
    </row>
    <row r="38" spans="1:22" ht="12.75">
      <c r="A38" t="s">
        <v>131</v>
      </c>
      <c r="B38" s="1">
        <f>'wave data'!P33</f>
        <v>0</v>
      </c>
      <c r="C38" s="1">
        <f>'wave data'!P34</f>
        <v>0</v>
      </c>
      <c r="D38" s="1">
        <f>'wave data'!P35</f>
        <v>0</v>
      </c>
      <c r="E38" s="1">
        <f>'wave data'!P36</f>
        <v>0</v>
      </c>
      <c r="F38" s="1">
        <f>'wave data'!P37</f>
        <v>0</v>
      </c>
      <c r="G38" s="1">
        <f>'wave data'!P38</f>
        <v>0</v>
      </c>
      <c r="H38" s="1">
        <f>'wave data'!P39</f>
        <v>0</v>
      </c>
      <c r="I38" s="1">
        <f>'wave data'!P40</f>
        <v>0</v>
      </c>
      <c r="J38" s="1">
        <f>'wave data'!P41</f>
        <v>0</v>
      </c>
      <c r="K38" s="1">
        <f>'wave data'!P42</f>
        <v>0</v>
      </c>
      <c r="L38" s="1">
        <f>'wave data'!P43</f>
        <v>0</v>
      </c>
      <c r="M38" s="1">
        <f>'wave data'!P44</f>
        <v>0</v>
      </c>
      <c r="N38" s="1">
        <f>'wave data'!P45</f>
        <v>0</v>
      </c>
      <c r="O38" s="1">
        <f>'wave data'!P46</f>
        <v>0</v>
      </c>
      <c r="P38" s="1">
        <f>'wave data'!P47</f>
        <v>0</v>
      </c>
      <c r="Q38" s="1">
        <f>'wave data'!P48</f>
        <v>0</v>
      </c>
      <c r="R38" s="1">
        <f>'wave data'!P49</f>
        <v>0</v>
      </c>
      <c r="S38" s="1">
        <f>'wave data'!P50</f>
        <v>0</v>
      </c>
      <c r="T38" s="1">
        <f>'wave data'!P51</f>
        <v>0</v>
      </c>
      <c r="U38" s="1">
        <f>'wave data'!P52</f>
        <v>0</v>
      </c>
      <c r="V38" s="1">
        <f>'wave data'!P53</f>
        <v>0</v>
      </c>
    </row>
    <row r="39" spans="1:22" ht="12.75">
      <c r="A39" t="s">
        <v>109</v>
      </c>
      <c r="B39">
        <f aca="true" t="shared" si="14" ref="B39:V39">B37*sa_scale_factor</f>
        <v>12.679421164772728</v>
      </c>
      <c r="C39">
        <f t="shared" si="14"/>
        <v>170.8856534090909</v>
      </c>
      <c r="D39">
        <f t="shared" si="14"/>
        <v>520.0834517045455</v>
      </c>
      <c r="E39">
        <f t="shared" si="14"/>
        <v>990.9570312499999</v>
      </c>
      <c r="F39">
        <f t="shared" si="14"/>
        <v>1332.8915127840905</v>
      </c>
      <c r="G39">
        <f t="shared" si="14"/>
        <v>1386.970880681818</v>
      </c>
      <c r="H39">
        <f t="shared" si="14"/>
        <v>1441.0786576704547</v>
      </c>
      <c r="I39" s="1">
        <f t="shared" si="14"/>
        <v>1497.0534446022725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1469.5927371279372</v>
      </c>
      <c r="O39">
        <f t="shared" si="14"/>
        <v>1399.5946830574883</v>
      </c>
      <c r="P39">
        <f t="shared" si="14"/>
        <v>1334.4458623750709</v>
      </c>
      <c r="Q39">
        <f t="shared" si="14"/>
        <v>1271.2558977703652</v>
      </c>
      <c r="R39">
        <f t="shared" si="14"/>
        <v>1208.2451401075518</v>
      </c>
      <c r="S39">
        <f t="shared" si="14"/>
        <v>1085.0456905351866</v>
      </c>
      <c r="T39">
        <f t="shared" si="14"/>
        <v>926.5699754655112</v>
      </c>
      <c r="U39">
        <f t="shared" si="14"/>
        <v>788.1175310815057</v>
      </c>
      <c r="V39">
        <f t="shared" si="14"/>
        <v>347.69855068741475</v>
      </c>
    </row>
    <row r="40" spans="1:22" ht="12.75">
      <c r="A40" t="s">
        <v>134</v>
      </c>
      <c r="B40">
        <f aca="true" t="shared" si="15" ref="B40:V40">B39*section_spacing/cu_ft_per_ton</f>
        <v>0</v>
      </c>
      <c r="C40">
        <f t="shared" si="15"/>
        <v>0</v>
      </c>
      <c r="D40">
        <f t="shared" si="15"/>
        <v>0</v>
      </c>
      <c r="E40">
        <f t="shared" si="15"/>
        <v>0</v>
      </c>
      <c r="F40">
        <f t="shared" si="15"/>
        <v>0</v>
      </c>
      <c r="G40">
        <f t="shared" si="15"/>
        <v>0</v>
      </c>
      <c r="H40">
        <f t="shared" si="15"/>
        <v>0</v>
      </c>
      <c r="I40">
        <f t="shared" si="15"/>
        <v>0</v>
      </c>
      <c r="J40">
        <f t="shared" si="15"/>
        <v>0</v>
      </c>
      <c r="K40">
        <f t="shared" si="15"/>
        <v>0</v>
      </c>
      <c r="L40">
        <f t="shared" si="15"/>
        <v>0</v>
      </c>
      <c r="M40">
        <f t="shared" si="15"/>
        <v>0</v>
      </c>
      <c r="N40">
        <f t="shared" si="15"/>
        <v>0</v>
      </c>
      <c r="O40">
        <f t="shared" si="15"/>
        <v>0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</row>
    <row r="41" spans="1:23" ht="12.75">
      <c r="A41" t="s">
        <v>143</v>
      </c>
      <c r="B41">
        <f>(B40+C40)/2</f>
        <v>0</v>
      </c>
      <c r="C41">
        <f aca="true" t="shared" si="16" ref="C41:U41">(C40+D40)/2</f>
        <v>0</v>
      </c>
      <c r="D41">
        <f t="shared" si="16"/>
        <v>0</v>
      </c>
      <c r="E41">
        <f t="shared" si="16"/>
        <v>0</v>
      </c>
      <c r="F41">
        <f t="shared" si="16"/>
        <v>0</v>
      </c>
      <c r="G41">
        <f t="shared" si="16"/>
        <v>0</v>
      </c>
      <c r="H41">
        <f t="shared" si="16"/>
        <v>0</v>
      </c>
      <c r="I41">
        <f t="shared" si="16"/>
        <v>0</v>
      </c>
      <c r="J41">
        <f t="shared" si="16"/>
        <v>0</v>
      </c>
      <c r="K41">
        <f t="shared" si="16"/>
        <v>0</v>
      </c>
      <c r="L41">
        <f t="shared" si="16"/>
        <v>0</v>
      </c>
      <c r="M41">
        <f t="shared" si="16"/>
        <v>0</v>
      </c>
      <c r="N41">
        <f t="shared" si="16"/>
        <v>0</v>
      </c>
      <c r="O41">
        <f t="shared" si="16"/>
        <v>0</v>
      </c>
      <c r="P41">
        <f t="shared" si="16"/>
        <v>0</v>
      </c>
      <c r="Q41">
        <f t="shared" si="16"/>
        <v>0</v>
      </c>
      <c r="R41">
        <f t="shared" si="16"/>
        <v>0</v>
      </c>
      <c r="S41">
        <f t="shared" si="16"/>
        <v>0</v>
      </c>
      <c r="T41">
        <f t="shared" si="16"/>
        <v>0</v>
      </c>
      <c r="U41">
        <f t="shared" si="16"/>
        <v>0</v>
      </c>
      <c r="W41">
        <f>SUM(B41:V41)</f>
        <v>0</v>
      </c>
    </row>
    <row r="42" spans="1:23" ht="12.75">
      <c r="A42" t="s">
        <v>108</v>
      </c>
      <c r="B42" s="1">
        <f aca="true" t="shared" si="17" ref="B42:U42">B41*(9.5-B30)</f>
        <v>0</v>
      </c>
      <c r="C42" s="1">
        <f t="shared" si="17"/>
        <v>0</v>
      </c>
      <c r="D42" s="1">
        <f t="shared" si="17"/>
        <v>0</v>
      </c>
      <c r="E42" s="1">
        <f t="shared" si="17"/>
        <v>0</v>
      </c>
      <c r="F42" s="1">
        <f t="shared" si="17"/>
        <v>0</v>
      </c>
      <c r="G42" s="1">
        <f t="shared" si="17"/>
        <v>0</v>
      </c>
      <c r="H42" s="1">
        <f t="shared" si="17"/>
        <v>0</v>
      </c>
      <c r="I42" s="1">
        <f t="shared" si="17"/>
        <v>0</v>
      </c>
      <c r="J42" s="1">
        <f t="shared" si="17"/>
        <v>0</v>
      </c>
      <c r="K42" s="1">
        <f t="shared" si="17"/>
        <v>0</v>
      </c>
      <c r="L42" s="1">
        <f t="shared" si="17"/>
        <v>0</v>
      </c>
      <c r="M42" s="1">
        <f t="shared" si="17"/>
        <v>0</v>
      </c>
      <c r="N42" s="1">
        <f t="shared" si="17"/>
        <v>0</v>
      </c>
      <c r="O42" s="1">
        <f t="shared" si="17"/>
        <v>0</v>
      </c>
      <c r="P42" s="1">
        <f t="shared" si="17"/>
        <v>0</v>
      </c>
      <c r="Q42" s="1">
        <f t="shared" si="17"/>
        <v>0</v>
      </c>
      <c r="R42" s="1">
        <f t="shared" si="17"/>
        <v>0</v>
      </c>
      <c r="S42" s="1">
        <f t="shared" si="17"/>
        <v>0</v>
      </c>
      <c r="T42" s="1">
        <f t="shared" si="17"/>
        <v>0</v>
      </c>
      <c r="U42" s="1">
        <f t="shared" si="17"/>
        <v>0</v>
      </c>
      <c r="V42" s="1"/>
      <c r="W42">
        <f>SUM(B42:V42)</f>
        <v>0</v>
      </c>
    </row>
    <row r="44" spans="1:9" ht="12.75">
      <c r="A44" s="4" t="s">
        <v>133</v>
      </c>
      <c r="I44" s="1"/>
    </row>
    <row r="45" spans="1:19" ht="12.75">
      <c r="A45" t="s">
        <v>102</v>
      </c>
      <c r="D45" s="22">
        <v>24.983</v>
      </c>
      <c r="F45" t="s">
        <v>106</v>
      </c>
      <c r="I45" s="1">
        <f>W59*section_spacing/cu_ft_per_ton</f>
        <v>0</v>
      </c>
      <c r="K45">
        <f>displacement</f>
        <v>0</v>
      </c>
      <c r="M45" s="23" t="e">
        <f>ABS((I45-K45)/K45)</f>
        <v>#DIV/0!</v>
      </c>
      <c r="R45">
        <v>20.860052698626564</v>
      </c>
      <c r="S45">
        <f>16-1.41355663641018</f>
        <v>14.58644336358982</v>
      </c>
    </row>
    <row r="46" spans="1:13" ht="12.75">
      <c r="A46" t="s">
        <v>103</v>
      </c>
      <c r="D46" s="24">
        <v>0</v>
      </c>
      <c r="F46" t="s">
        <v>107</v>
      </c>
      <c r="I46" s="25" t="e">
        <f>W61/W60*section_spacing</f>
        <v>#DIV/0!</v>
      </c>
      <c r="K46" t="e">
        <f>lcg</f>
        <v>#DIV/0!</v>
      </c>
      <c r="M46" s="23" t="e">
        <f>ABS((I46-K46)/(K46+LBP/2))</f>
        <v>#DIV/0!</v>
      </c>
    </row>
    <row r="47" spans="4:13" ht="12.75">
      <c r="D47" s="5"/>
      <c r="I47" s="1"/>
      <c r="M47" s="23"/>
    </row>
    <row r="48" spans="1:9" ht="12.75">
      <c r="A48" t="s">
        <v>91</v>
      </c>
      <c r="I48" s="1"/>
    </row>
    <row r="49" spans="1:22" ht="12.75">
      <c r="A49" t="s">
        <v>105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72</v>
      </c>
      <c r="B50" s="1">
        <f>'wave data'!T7</f>
        <v>24.983</v>
      </c>
      <c r="C50" s="1">
        <f>'wave data'!T8</f>
        <v>24.983</v>
      </c>
      <c r="D50" s="1">
        <f>'wave data'!T9</f>
        <v>24.983</v>
      </c>
      <c r="E50" s="1">
        <f>'wave data'!T10</f>
        <v>24.983</v>
      </c>
      <c r="F50" s="1">
        <f>'wave data'!T11</f>
        <v>24.983</v>
      </c>
      <c r="G50" s="1">
        <f>'wave data'!T12</f>
        <v>24.983</v>
      </c>
      <c r="H50" s="1">
        <f>'wave data'!T13</f>
        <v>24.983</v>
      </c>
      <c r="I50" s="1">
        <f>'wave data'!T14</f>
        <v>24.983</v>
      </c>
      <c r="J50" s="1">
        <f>'wave data'!T15</f>
        <v>24.983</v>
      </c>
      <c r="K50" s="1">
        <f>'wave data'!T16</f>
        <v>24.983</v>
      </c>
      <c r="L50" s="1">
        <f>'wave data'!T17</f>
        <v>24.983</v>
      </c>
      <c r="M50" s="1">
        <f>'wave data'!T18</f>
        <v>24.983</v>
      </c>
      <c r="N50" s="1">
        <f>'wave data'!T19</f>
        <v>24.983</v>
      </c>
      <c r="O50" s="1">
        <f>'wave data'!T20</f>
        <v>24.983</v>
      </c>
      <c r="P50" s="1">
        <f>'wave data'!T21</f>
        <v>24.983</v>
      </c>
      <c r="Q50" s="1">
        <f>'wave data'!T22</f>
        <v>24.983</v>
      </c>
      <c r="R50" s="1">
        <f>'wave data'!T23</f>
        <v>24.983</v>
      </c>
      <c r="S50" s="1">
        <f>'wave data'!T24</f>
        <v>24.983</v>
      </c>
      <c r="T50" s="1">
        <f>'wave data'!T25</f>
        <v>24.983</v>
      </c>
      <c r="U50" s="1">
        <f>'wave data'!T26</f>
        <v>24.983</v>
      </c>
      <c r="V50" s="1">
        <f>'wave data'!T27</f>
        <v>24.983</v>
      </c>
    </row>
    <row r="51" spans="1:22" ht="12.75">
      <c r="A51" t="s">
        <v>92</v>
      </c>
      <c r="B51">
        <f>IF(B50&gt;0,MATCH(B50,waterlines),1)</f>
        <v>9</v>
      </c>
      <c r="C51">
        <f aca="true" t="shared" si="18" ref="C51:V51">IF(C50&gt;0,MATCH(C50,waterlines),1)</f>
        <v>9</v>
      </c>
      <c r="D51">
        <f t="shared" si="18"/>
        <v>9</v>
      </c>
      <c r="E51">
        <f t="shared" si="18"/>
        <v>9</v>
      </c>
      <c r="F51">
        <f t="shared" si="18"/>
        <v>9</v>
      </c>
      <c r="G51">
        <f t="shared" si="18"/>
        <v>9</v>
      </c>
      <c r="H51">
        <f t="shared" si="18"/>
        <v>9</v>
      </c>
      <c r="I51">
        <f t="shared" si="18"/>
        <v>9</v>
      </c>
      <c r="J51">
        <f t="shared" si="18"/>
        <v>9</v>
      </c>
      <c r="K51">
        <f t="shared" si="18"/>
        <v>9</v>
      </c>
      <c r="L51">
        <f t="shared" si="18"/>
        <v>9</v>
      </c>
      <c r="M51">
        <f t="shared" si="18"/>
        <v>9</v>
      </c>
      <c r="N51">
        <f t="shared" si="18"/>
        <v>9</v>
      </c>
      <c r="O51">
        <f t="shared" si="18"/>
        <v>9</v>
      </c>
      <c r="P51">
        <f t="shared" si="18"/>
        <v>9</v>
      </c>
      <c r="Q51">
        <f t="shared" si="18"/>
        <v>9</v>
      </c>
      <c r="R51">
        <f t="shared" si="18"/>
        <v>9</v>
      </c>
      <c r="S51">
        <f t="shared" si="18"/>
        <v>9</v>
      </c>
      <c r="T51">
        <f t="shared" si="18"/>
        <v>9</v>
      </c>
      <c r="U51">
        <f t="shared" si="18"/>
        <v>9</v>
      </c>
      <c r="V51">
        <f t="shared" si="18"/>
        <v>9</v>
      </c>
    </row>
    <row r="52" spans="1:22" ht="12.75">
      <c r="A52" t="s">
        <v>93</v>
      </c>
      <c r="B52">
        <f>INDEX(waterlines,B51)</f>
        <v>20</v>
      </c>
      <c r="C52">
        <f aca="true" t="shared" si="19" ref="C52:V52">INDEX(waterlines,C51)</f>
        <v>20</v>
      </c>
      <c r="D52">
        <f t="shared" si="19"/>
        <v>20</v>
      </c>
      <c r="E52">
        <f t="shared" si="19"/>
        <v>20</v>
      </c>
      <c r="F52">
        <f t="shared" si="19"/>
        <v>20</v>
      </c>
      <c r="G52">
        <f t="shared" si="19"/>
        <v>20</v>
      </c>
      <c r="H52">
        <f t="shared" si="19"/>
        <v>20</v>
      </c>
      <c r="I52">
        <f t="shared" si="19"/>
        <v>20</v>
      </c>
      <c r="J52">
        <f t="shared" si="19"/>
        <v>20</v>
      </c>
      <c r="K52">
        <f t="shared" si="19"/>
        <v>20</v>
      </c>
      <c r="L52">
        <f t="shared" si="19"/>
        <v>20</v>
      </c>
      <c r="M52">
        <f t="shared" si="19"/>
        <v>20</v>
      </c>
      <c r="N52">
        <f t="shared" si="19"/>
        <v>20</v>
      </c>
      <c r="O52">
        <f t="shared" si="19"/>
        <v>20</v>
      </c>
      <c r="P52">
        <f t="shared" si="19"/>
        <v>20</v>
      </c>
      <c r="Q52">
        <f t="shared" si="19"/>
        <v>20</v>
      </c>
      <c r="R52">
        <f t="shared" si="19"/>
        <v>20</v>
      </c>
      <c r="S52">
        <f t="shared" si="19"/>
        <v>20</v>
      </c>
      <c r="T52">
        <f t="shared" si="19"/>
        <v>20</v>
      </c>
      <c r="U52">
        <f t="shared" si="19"/>
        <v>20</v>
      </c>
      <c r="V52">
        <f t="shared" si="19"/>
        <v>20</v>
      </c>
    </row>
    <row r="53" spans="1:22" ht="12.75">
      <c r="A53" t="s">
        <v>94</v>
      </c>
      <c r="B53">
        <f>IF(B52&lt;max_draft,INDEX(waterlines,B51+1),B52)</f>
        <v>25</v>
      </c>
      <c r="C53">
        <f aca="true" t="shared" si="20" ref="C53:V53">IF(C52&lt;max_draft,INDEX(waterlines,C51+1),C52)</f>
        <v>25</v>
      </c>
      <c r="D53">
        <f t="shared" si="20"/>
        <v>25</v>
      </c>
      <c r="E53">
        <f t="shared" si="20"/>
        <v>25</v>
      </c>
      <c r="F53">
        <f t="shared" si="20"/>
        <v>25</v>
      </c>
      <c r="G53">
        <f t="shared" si="20"/>
        <v>25</v>
      </c>
      <c r="H53">
        <f t="shared" si="20"/>
        <v>25</v>
      </c>
      <c r="I53">
        <f t="shared" si="20"/>
        <v>25</v>
      </c>
      <c r="J53">
        <f t="shared" si="20"/>
        <v>25</v>
      </c>
      <c r="K53">
        <f t="shared" si="20"/>
        <v>25</v>
      </c>
      <c r="L53">
        <f t="shared" si="20"/>
        <v>25</v>
      </c>
      <c r="M53">
        <f t="shared" si="20"/>
        <v>25</v>
      </c>
      <c r="N53">
        <f t="shared" si="20"/>
        <v>25</v>
      </c>
      <c r="O53">
        <f t="shared" si="20"/>
        <v>25</v>
      </c>
      <c r="P53">
        <f t="shared" si="20"/>
        <v>25</v>
      </c>
      <c r="Q53">
        <f t="shared" si="20"/>
        <v>25</v>
      </c>
      <c r="R53">
        <f t="shared" si="20"/>
        <v>25</v>
      </c>
      <c r="S53">
        <f t="shared" si="20"/>
        <v>25</v>
      </c>
      <c r="T53">
        <f t="shared" si="20"/>
        <v>25</v>
      </c>
      <c r="U53">
        <f t="shared" si="20"/>
        <v>25</v>
      </c>
      <c r="V53">
        <f t="shared" si="20"/>
        <v>25</v>
      </c>
    </row>
    <row r="54" spans="1:22" ht="12.75">
      <c r="A54" t="s">
        <v>95</v>
      </c>
      <c r="B54">
        <f>INDEX('bonjeans data'!B9:B21,B51)</f>
        <v>0</v>
      </c>
      <c r="C54">
        <f>INDEX('bonjeans data'!C9:C21,C51)</f>
        <v>0.005559422348484849</v>
      </c>
      <c r="D54">
        <f>INDEX('bonjeans data'!D9:D21,D51)</f>
        <v>0.3157267992424242</v>
      </c>
      <c r="E54">
        <f>INDEX('bonjeans data'!E9:E21,E51)</f>
        <v>1.0056936553030302</v>
      </c>
      <c r="F54">
        <f>INDEX('bonjeans data'!F9:F21,F51)</f>
        <v>1.5342092803030303</v>
      </c>
      <c r="G54">
        <f>INDEX('bonjeans data'!G9:G21,G51)</f>
        <v>1.623650568181818</v>
      </c>
      <c r="H54">
        <f>INDEX('bonjeans data'!H9:H21,H51)</f>
        <v>1.7138375946969695</v>
      </c>
      <c r="I54">
        <f>INDEX('bonjeans data'!I9:I21,I51)</f>
        <v>1.806628787878788</v>
      </c>
      <c r="J54">
        <f>INDEX('bonjeans data'!J9:J21,J51)</f>
        <v>0</v>
      </c>
      <c r="K54">
        <f>INDEX('bonjeans data'!K9:K21,K51)</f>
        <v>0</v>
      </c>
      <c r="L54">
        <f>INDEX('bonjeans data'!L9:L21,L51)</f>
        <v>0</v>
      </c>
      <c r="M54">
        <f>INDEX('bonjeans data'!M9:M21,M51)</f>
        <v>0</v>
      </c>
      <c r="N54">
        <f>INDEX('bonjeans data'!N9:N21,N51)</f>
        <v>1.7617047839485236</v>
      </c>
      <c r="O54">
        <f>INDEX('bonjeans data'!O9:O21,O51)</f>
        <v>1.6451788707749697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96</v>
      </c>
      <c r="B55">
        <f>INDEX('bonjeans data'!B9:B21,IF(B50&gt;max_draft,B51,B51+1))</f>
        <v>0</v>
      </c>
      <c r="C55">
        <f>INDEX('bonjeans data'!C9:C21,IF(C50&gt;max_draft,C51,C51+1))</f>
        <v>0.15687973484848483</v>
      </c>
      <c r="D55">
        <f>INDEX('bonjeans data'!D9:D21,IF(D50&gt;max_draft,D51,D51+1))</f>
        <v>0.707734375</v>
      </c>
      <c r="E55">
        <f>INDEX('bonjeans data'!E9:E21,IF(E50&gt;max_draft,E51,E51+1))</f>
        <v>1.4746330492424242</v>
      </c>
      <c r="F55">
        <f>INDEX('bonjeans data'!F9:F21,IF(F50&gt;max_draft,F51,F51+1))</f>
        <v>2.0340435606060603</v>
      </c>
      <c r="G55">
        <f>INDEX('bonjeans data'!G9:G21,IF(G50&gt;max_draft,G51,G51+1))</f>
        <v>2.1239938446969697</v>
      </c>
      <c r="H55">
        <f>INDEX('bonjeans data'!H9:H21,IF(H50&gt;max_draft,H51,H51+1))</f>
        <v>2.2141690340909093</v>
      </c>
      <c r="I55">
        <f>INDEX('bonjeans data'!I9:I21,IF(I50&gt;max_draft,I51,I51+1))</f>
        <v>2.307327178030303</v>
      </c>
      <c r="J55">
        <f>INDEX('bonjeans data'!J9:J21,IF(J50&gt;max_draft,J51,J51+1))</f>
        <v>0</v>
      </c>
      <c r="K55">
        <f>INDEX('bonjeans data'!K9:K21,IF(K50&gt;max_draft,K51,K51+1))</f>
        <v>0</v>
      </c>
      <c r="L55">
        <f>INDEX('bonjeans data'!L9:L21,IF(L50&gt;max_draft,L51,L51+1))</f>
        <v>0</v>
      </c>
      <c r="M55">
        <f>INDEX('bonjeans data'!M9:M21,IF(M50&gt;max_draft,M51,M51+1))</f>
        <v>0</v>
      </c>
      <c r="N55">
        <f>INDEX('bonjeans data'!N9:N21,IF(N50&gt;max_draft,N51,N51+1))</f>
        <v>2.261792696976474</v>
      </c>
      <c r="O55">
        <f>INDEX('bonjeans data'!O9:O21,IF(O50&gt;max_draft,O51,O51+1))</f>
        <v>2.1451603242334794</v>
      </c>
      <c r="P55">
        <f>INDEX('bonjeans data'!P9:P21,IF(P50&gt;max_draft,P51,P51+1))</f>
        <v>2.0365833922448435</v>
      </c>
      <c r="Q55">
        <f>INDEX('bonjeans data'!Q9:Q21,IF(Q50&gt;max_draft,Q51,Q51+1))</f>
        <v>1.9312712203857276</v>
      </c>
      <c r="R55">
        <f>INDEX('bonjeans data'!R9:R21,IF(R50&gt;max_draft,R51,R51+1))</f>
        <v>1.826585977102208</v>
      </c>
      <c r="S55">
        <f>INDEX('bonjeans data'!S9:S21,IF(S50&gt;max_draft,S51,S51+1))</f>
        <v>1.6269979420826794</v>
      </c>
      <c r="T55">
        <f>INDEX('bonjeans data'!T9:T21,IF(T50&gt;max_draft,T51,T51+1))</f>
        <v>1.372772490257888</v>
      </c>
      <c r="U55">
        <f>INDEX('bonjeans data'!U9:U21,IF(U50&gt;max_draft,U51,U51+1))</f>
        <v>1.1516299410788984</v>
      </c>
      <c r="V55">
        <f>INDEX('bonjeans data'!V9:V21,IF(V50&gt;max_draft,V51,V51+1))</f>
        <v>0.5017865346025847</v>
      </c>
    </row>
    <row r="56" spans="1:22" ht="12.75">
      <c r="A56" t="s">
        <v>97</v>
      </c>
      <c r="B56">
        <f>(B50-B52)/(B53-B52)*(B55-B54)+B54</f>
        <v>0</v>
      </c>
      <c r="C56">
        <f aca="true" t="shared" si="21" ref="C56:U56">(C50-C52)/(C53-C52)*(C55-C54)+C54</f>
        <v>0.15636524578598485</v>
      </c>
      <c r="D56">
        <f t="shared" si="21"/>
        <v>0.7064015492424243</v>
      </c>
      <c r="E56">
        <f t="shared" si="21"/>
        <v>1.4730386553030304</v>
      </c>
      <c r="F56">
        <f t="shared" si="21"/>
        <v>2.03234412405303</v>
      </c>
      <c r="G56">
        <f t="shared" si="21"/>
        <v>2.1222926775568185</v>
      </c>
      <c r="H56">
        <f t="shared" si="21"/>
        <v>2.21246790719697</v>
      </c>
      <c r="I56" s="1">
        <f t="shared" si="21"/>
        <v>2.305624803503788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0</v>
      </c>
      <c r="N56">
        <f t="shared" si="21"/>
        <v>2.260092398072179</v>
      </c>
      <c r="O56">
        <f t="shared" si="21"/>
        <v>2.1434603872917206</v>
      </c>
      <c r="P56">
        <f t="shared" si="21"/>
        <v>2.034883455303085</v>
      </c>
      <c r="Q56">
        <f t="shared" si="21"/>
        <v>1.9295712834439689</v>
      </c>
      <c r="R56">
        <f t="shared" si="21"/>
        <v>1.824889941312227</v>
      </c>
      <c r="S56">
        <f t="shared" si="21"/>
        <v>1.625365422674172</v>
      </c>
      <c r="T56">
        <f t="shared" si="21"/>
        <v>1.3712496173451767</v>
      </c>
      <c r="U56">
        <f t="shared" si="21"/>
        <v>1.1502135414570838</v>
      </c>
      <c r="V56">
        <f>(V50-V52)/(V53-V52)*(V55-V54)+V54</f>
        <v>0.5011139720142592</v>
      </c>
    </row>
    <row r="57" spans="1:22" ht="12.75">
      <c r="A57" t="s">
        <v>132</v>
      </c>
      <c r="B57" s="1">
        <f>'wave data'!I33</f>
        <v>0</v>
      </c>
      <c r="C57" s="1">
        <f>'wave data'!I34</f>
        <v>0</v>
      </c>
      <c r="D57" s="1">
        <f>'wave data'!I35</f>
        <v>0</v>
      </c>
      <c r="E57" s="1">
        <f>'wave data'!I36</f>
        <v>0</v>
      </c>
      <c r="F57" s="1">
        <f>'wave data'!I37</f>
        <v>0</v>
      </c>
      <c r="G57" s="1">
        <f>'wave data'!I38</f>
        <v>0</v>
      </c>
      <c r="H57" s="1">
        <f>'wave data'!I39</f>
        <v>0</v>
      </c>
      <c r="I57" s="1">
        <f>'wave data'!I40</f>
        <v>0</v>
      </c>
      <c r="J57" s="1">
        <f>'wave data'!I41</f>
        <v>0</v>
      </c>
      <c r="K57" s="1">
        <f>'wave data'!I42</f>
        <v>0</v>
      </c>
      <c r="L57" s="1">
        <f>'wave data'!I43</f>
        <v>0</v>
      </c>
      <c r="M57" s="1">
        <f>'wave data'!I44</f>
        <v>0</v>
      </c>
      <c r="N57" s="1">
        <f>'wave data'!I45</f>
        <v>0</v>
      </c>
      <c r="O57" s="1">
        <f>'wave data'!I46</f>
        <v>0</v>
      </c>
      <c r="P57" s="1">
        <f>'wave data'!I47</f>
        <v>0</v>
      </c>
      <c r="Q57" s="1">
        <f>'wave data'!I48</f>
        <v>0</v>
      </c>
      <c r="R57" s="1">
        <f>'wave data'!I49</f>
        <v>0</v>
      </c>
      <c r="S57" s="1">
        <f>'wave data'!I50</f>
        <v>0</v>
      </c>
      <c r="T57" s="1">
        <f>'wave data'!I51</f>
        <v>0</v>
      </c>
      <c r="U57" s="1">
        <f>'wave data'!I52</f>
        <v>0</v>
      </c>
      <c r="V57" s="1">
        <f>'wave data'!I53</f>
        <v>0</v>
      </c>
    </row>
    <row r="58" spans="1:23" ht="12.75">
      <c r="A58" t="s">
        <v>104</v>
      </c>
      <c r="B58">
        <f aca="true" t="shared" si="22" ref="B58:V58">B56*sa_scale_factor</f>
        <v>0</v>
      </c>
      <c r="C58">
        <f t="shared" si="22"/>
        <v>93.81914747159091</v>
      </c>
      <c r="D58">
        <f t="shared" si="22"/>
        <v>423.84092954545457</v>
      </c>
      <c r="E58">
        <f t="shared" si="22"/>
        <v>883.8231931818182</v>
      </c>
      <c r="F58">
        <f t="shared" si="22"/>
        <v>1219.4064744318182</v>
      </c>
      <c r="G58">
        <f t="shared" si="22"/>
        <v>1273.375606534091</v>
      </c>
      <c r="H58">
        <f t="shared" si="22"/>
        <v>1327.4807443181821</v>
      </c>
      <c r="I58" s="1">
        <f t="shared" si="22"/>
        <v>1383.3748821022727</v>
      </c>
      <c r="J58">
        <f t="shared" si="22"/>
        <v>0</v>
      </c>
      <c r="K58">
        <f t="shared" si="22"/>
        <v>0</v>
      </c>
      <c r="L58">
        <f t="shared" si="22"/>
        <v>0</v>
      </c>
      <c r="M58">
        <f t="shared" si="22"/>
        <v>0</v>
      </c>
      <c r="N58">
        <f t="shared" si="22"/>
        <v>1356.0554388433075</v>
      </c>
      <c r="O58">
        <f t="shared" si="22"/>
        <v>1286.0762323750323</v>
      </c>
      <c r="P58">
        <f t="shared" si="22"/>
        <v>1220.930073181851</v>
      </c>
      <c r="Q58">
        <f t="shared" si="22"/>
        <v>1157.7427700663814</v>
      </c>
      <c r="R58">
        <f t="shared" si="22"/>
        <v>1094.9339647873362</v>
      </c>
      <c r="S58">
        <f t="shared" si="22"/>
        <v>975.2192536045033</v>
      </c>
      <c r="T58">
        <f t="shared" si="22"/>
        <v>822.749770407106</v>
      </c>
      <c r="U58">
        <f t="shared" si="22"/>
        <v>690.1281248742503</v>
      </c>
      <c r="V58">
        <f t="shared" si="22"/>
        <v>300.66838320855555</v>
      </c>
      <c r="W58">
        <f>SUM(B58:V58)</f>
        <v>15509.624988933554</v>
      </c>
    </row>
    <row r="59" spans="1:23" ht="12.75">
      <c r="A59" t="s">
        <v>142</v>
      </c>
      <c r="B59">
        <f>(B58+C58)/2</f>
        <v>46.909573735795455</v>
      </c>
      <c r="C59">
        <f aca="true" t="shared" si="23" ref="C59:U59">(C58+D58)/2</f>
        <v>258.83003850852276</v>
      </c>
      <c r="D59">
        <f t="shared" si="23"/>
        <v>653.8320613636364</v>
      </c>
      <c r="E59">
        <f t="shared" si="23"/>
        <v>1051.6148338068183</v>
      </c>
      <c r="F59">
        <f t="shared" si="23"/>
        <v>1246.3910404829546</v>
      </c>
      <c r="G59">
        <f t="shared" si="23"/>
        <v>1300.4281754261365</v>
      </c>
      <c r="H59">
        <f t="shared" si="23"/>
        <v>1355.4278132102274</v>
      </c>
      <c r="I59">
        <f t="shared" si="23"/>
        <v>691.6874410511364</v>
      </c>
      <c r="J59">
        <f t="shared" si="23"/>
        <v>0</v>
      </c>
      <c r="K59">
        <f t="shared" si="23"/>
        <v>0</v>
      </c>
      <c r="L59">
        <f t="shared" si="23"/>
        <v>0</v>
      </c>
      <c r="M59">
        <f t="shared" si="23"/>
        <v>678.0277194216537</v>
      </c>
      <c r="N59">
        <f t="shared" si="23"/>
        <v>1321.0658356091699</v>
      </c>
      <c r="O59">
        <f t="shared" si="23"/>
        <v>1253.5031527784417</v>
      </c>
      <c r="P59">
        <f t="shared" si="23"/>
        <v>1189.3364216241162</v>
      </c>
      <c r="Q59">
        <f t="shared" si="23"/>
        <v>1126.338367426859</v>
      </c>
      <c r="R59">
        <f t="shared" si="23"/>
        <v>1035.0766091959197</v>
      </c>
      <c r="S59">
        <f t="shared" si="23"/>
        <v>898.9845120058046</v>
      </c>
      <c r="T59">
        <f t="shared" si="23"/>
        <v>756.4389476406782</v>
      </c>
      <c r="U59">
        <f t="shared" si="23"/>
        <v>495.3982540414029</v>
      </c>
      <c r="W59">
        <f>SUM(B59:V59)</f>
        <v>15359.290797329273</v>
      </c>
    </row>
    <row r="60" spans="1:23" ht="12.75">
      <c r="A60" t="s">
        <v>143</v>
      </c>
      <c r="B60" s="1">
        <f>B59*section_spacing/cu_ft_per_ton</f>
        <v>0</v>
      </c>
      <c r="C60" s="1">
        <f aca="true" t="shared" si="24" ref="C60:U60">C59*section_spacing/cu_ft_per_ton</f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1">
        <f t="shared" si="24"/>
        <v>0</v>
      </c>
      <c r="O60" s="1">
        <f t="shared" si="24"/>
        <v>0</v>
      </c>
      <c r="P60" s="1">
        <f t="shared" si="24"/>
        <v>0</v>
      </c>
      <c r="Q60" s="1">
        <f t="shared" si="24"/>
        <v>0</v>
      </c>
      <c r="R60" s="1">
        <f t="shared" si="24"/>
        <v>0</v>
      </c>
      <c r="S60" s="1">
        <f t="shared" si="24"/>
        <v>0</v>
      </c>
      <c r="T60" s="1">
        <f t="shared" si="24"/>
        <v>0</v>
      </c>
      <c r="U60" s="1">
        <f t="shared" si="24"/>
        <v>0</v>
      </c>
      <c r="W60" s="1">
        <f>SUM(B60:V60)</f>
        <v>0</v>
      </c>
    </row>
    <row r="61" spans="1:23" ht="12.75">
      <c r="A61" t="s">
        <v>108</v>
      </c>
      <c r="B61" s="1">
        <f aca="true" t="shared" si="25" ref="B61:U61">B60*(9.5-B49)</f>
        <v>0</v>
      </c>
      <c r="C61" s="1">
        <f t="shared" si="25"/>
        <v>0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25"/>
        <v>0</v>
      </c>
      <c r="M61" s="1">
        <f t="shared" si="25"/>
        <v>0</v>
      </c>
      <c r="N61" s="1">
        <f t="shared" si="25"/>
        <v>0</v>
      </c>
      <c r="O61" s="1">
        <f t="shared" si="25"/>
        <v>0</v>
      </c>
      <c r="P61" s="1">
        <f t="shared" si="25"/>
        <v>0</v>
      </c>
      <c r="Q61" s="1">
        <f t="shared" si="25"/>
        <v>0</v>
      </c>
      <c r="R61" s="1">
        <f t="shared" si="25"/>
        <v>0</v>
      </c>
      <c r="S61" s="1">
        <f t="shared" si="25"/>
        <v>0</v>
      </c>
      <c r="T61" s="1">
        <f t="shared" si="25"/>
        <v>0</v>
      </c>
      <c r="U61" s="1">
        <f t="shared" si="25"/>
        <v>0</v>
      </c>
      <c r="V61" s="1"/>
      <c r="W61">
        <f>SUM(B61:V61)</f>
        <v>0</v>
      </c>
    </row>
    <row r="62" ht="12.75">
      <c r="I62" s="1"/>
    </row>
    <row r="63" spans="4:13" ht="12.75">
      <c r="D63" s="5"/>
      <c r="I63" s="1"/>
      <c r="M63" s="23"/>
    </row>
    <row r="64" spans="4:13" ht="12.75">
      <c r="D64" s="5"/>
      <c r="I64" s="1"/>
      <c r="M64" s="23"/>
    </row>
    <row r="65" spans="4:9" ht="12.75">
      <c r="D65" s="5"/>
      <c r="I65" s="1"/>
    </row>
    <row r="66" ht="12.75">
      <c r="I66" s="1"/>
    </row>
    <row r="67" ht="12.75">
      <c r="I67" s="1"/>
    </row>
    <row r="68" spans="7:9" ht="12.75">
      <c r="G68" s="26"/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128</v>
      </c>
      <c r="B1" s="4"/>
    </row>
    <row r="4" spans="1:7" ht="12.75">
      <c r="A4" t="s">
        <v>145</v>
      </c>
      <c r="B4" s="28" t="s">
        <v>20</v>
      </c>
      <c r="E4" t="s">
        <v>19</v>
      </c>
      <c r="F4" t="s">
        <v>149</v>
      </c>
      <c r="G4" t="s">
        <v>151</v>
      </c>
    </row>
    <row r="5" spans="1:7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  <c r="G5" t="s">
        <v>13</v>
      </c>
    </row>
    <row r="6" spans="1:7" ht="12.75">
      <c r="A6">
        <f>weight!B6</f>
        <v>0</v>
      </c>
      <c r="D6" t="s">
        <v>147</v>
      </c>
      <c r="E6" t="s">
        <v>158</v>
      </c>
      <c r="F6" s="1">
        <v>0</v>
      </c>
      <c r="G6" s="9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9">
        <f>weight!G7</f>
        <v>0</v>
      </c>
      <c r="E7" s="9" t="e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9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9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9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9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9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9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9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9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9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9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9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9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9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9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9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9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9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9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9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9"/>
    </row>
    <row r="28" spans="6:7" ht="12.75">
      <c r="F28" s="1"/>
      <c r="G28" s="9"/>
    </row>
    <row r="30" spans="3:5" ht="12.75">
      <c r="C30" s="9">
        <f>SUM(C7:C29)</f>
        <v>0</v>
      </c>
      <c r="E30" t="e">
        <f>SUM(E7:E29)</f>
        <v>#REF!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129</v>
      </c>
      <c r="B1" s="30"/>
    </row>
    <row r="2" spans="2:5" ht="12.75">
      <c r="B2" s="29"/>
      <c r="E2" s="1"/>
    </row>
    <row r="3" spans="1:2" ht="12.75">
      <c r="A3" t="s">
        <v>145</v>
      </c>
      <c r="B3" s="29"/>
    </row>
    <row r="4" spans="1:7" ht="12.75">
      <c r="A4" t="s">
        <v>156</v>
      </c>
      <c r="B4" s="29"/>
      <c r="C4" t="s">
        <v>24</v>
      </c>
      <c r="E4" t="s">
        <v>19</v>
      </c>
      <c r="F4" t="s">
        <v>150</v>
      </c>
      <c r="G4" t="s">
        <v>155</v>
      </c>
    </row>
    <row r="5" spans="1:6" ht="12.75">
      <c r="A5" t="s">
        <v>157</v>
      </c>
      <c r="B5" s="29" t="s">
        <v>20</v>
      </c>
      <c r="E5" t="s">
        <v>5</v>
      </c>
      <c r="F5" t="s">
        <v>5</v>
      </c>
    </row>
    <row r="6" spans="1:8" ht="12.75">
      <c r="A6">
        <f>weight!B6</f>
        <v>0</v>
      </c>
      <c r="B6" s="29" t="s">
        <v>23</v>
      </c>
      <c r="C6" t="s">
        <v>5</v>
      </c>
      <c r="D6" t="s">
        <v>147</v>
      </c>
      <c r="E6" s="31"/>
      <c r="F6" s="1">
        <v>0</v>
      </c>
      <c r="G6" s="9">
        <v>0</v>
      </c>
      <c r="H6" s="1"/>
    </row>
    <row r="7" spans="1:8" ht="12.75">
      <c r="A7">
        <f>weight!B7</f>
        <v>1</v>
      </c>
      <c r="B7" s="6" t="s">
        <v>31</v>
      </c>
      <c r="C7">
        <f>weight!D7</f>
        <v>0</v>
      </c>
      <c r="D7">
        <f>weight!G7</f>
        <v>0</v>
      </c>
      <c r="E7" s="1" t="e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#REF!</v>
      </c>
      <c r="F7" s="41"/>
      <c r="G7" s="42"/>
      <c r="H7" s="1"/>
    </row>
    <row r="8" spans="1:8" ht="12.75">
      <c r="A8">
        <f>weight!B8</f>
        <v>2</v>
      </c>
      <c r="B8" s="6" t="s">
        <v>32</v>
      </c>
      <c r="C8">
        <f>weight!D8</f>
        <v>0</v>
      </c>
      <c r="D8">
        <f>weight!G8</f>
        <v>0</v>
      </c>
      <c r="E8" s="1" t="e">
        <f t="shared" si="0"/>
        <v>#REF!</v>
      </c>
      <c r="F8" s="43"/>
      <c r="G8" s="44"/>
      <c r="H8" s="1"/>
    </row>
    <row r="9" spans="1:8" ht="12.75">
      <c r="A9">
        <f>weight!B9</f>
        <v>3</v>
      </c>
      <c r="B9" s="6" t="s">
        <v>33</v>
      </c>
      <c r="C9">
        <f>weight!D9</f>
        <v>0</v>
      </c>
      <c r="D9">
        <f>weight!G9</f>
        <v>0</v>
      </c>
      <c r="E9" s="1" t="e">
        <f t="shared" si="0"/>
        <v>#REF!</v>
      </c>
      <c r="F9" s="43"/>
      <c r="G9" s="44"/>
      <c r="H9" s="1"/>
    </row>
    <row r="10" spans="1:8" ht="12.75">
      <c r="A10">
        <f>weight!B10</f>
        <v>4</v>
      </c>
      <c r="B10" s="6" t="s">
        <v>34</v>
      </c>
      <c r="C10">
        <f>weight!D10</f>
        <v>0</v>
      </c>
      <c r="D10">
        <f>weight!G10</f>
        <v>0</v>
      </c>
      <c r="E10" s="1" t="e">
        <f t="shared" si="0"/>
        <v>#REF!</v>
      </c>
      <c r="F10" s="43"/>
      <c r="G10" s="44"/>
      <c r="H10" s="1"/>
    </row>
    <row r="11" spans="1:8" ht="12.75">
      <c r="A11">
        <f>weight!B11</f>
        <v>5</v>
      </c>
      <c r="B11" s="6" t="s">
        <v>35</v>
      </c>
      <c r="C11">
        <f>weight!D11</f>
        <v>0</v>
      </c>
      <c r="D11">
        <f>weight!G11</f>
        <v>0</v>
      </c>
      <c r="E11" s="1" t="e">
        <f t="shared" si="0"/>
        <v>#REF!</v>
      </c>
      <c r="F11" s="43"/>
      <c r="G11" s="44"/>
      <c r="H11" s="1"/>
    </row>
    <row r="12" spans="1:8" ht="12.75">
      <c r="A12">
        <f>weight!B12</f>
        <v>6</v>
      </c>
      <c r="B12" s="6" t="s">
        <v>36</v>
      </c>
      <c r="C12">
        <f>weight!D12</f>
        <v>0</v>
      </c>
      <c r="D12">
        <f>weight!G12</f>
        <v>0</v>
      </c>
      <c r="E12" s="1" t="e">
        <f t="shared" si="0"/>
        <v>#REF!</v>
      </c>
      <c r="F12" s="43"/>
      <c r="G12" s="44"/>
      <c r="H12" s="1"/>
    </row>
    <row r="13" spans="1:8" ht="12.75">
      <c r="A13">
        <f>weight!B13</f>
        <v>7</v>
      </c>
      <c r="B13" s="6" t="s">
        <v>37</v>
      </c>
      <c r="C13">
        <f>weight!D13</f>
        <v>0</v>
      </c>
      <c r="D13">
        <f>weight!G13</f>
        <v>0</v>
      </c>
      <c r="E13" s="1" t="e">
        <f t="shared" si="0"/>
        <v>#REF!</v>
      </c>
      <c r="F13" s="43"/>
      <c r="G13" s="44"/>
      <c r="H13" s="1"/>
    </row>
    <row r="14" spans="1:8" ht="12.75">
      <c r="A14">
        <f>weight!B14</f>
        <v>8</v>
      </c>
      <c r="B14" s="6" t="s">
        <v>38</v>
      </c>
      <c r="C14">
        <f>weight!D14</f>
        <v>0</v>
      </c>
      <c r="D14">
        <f>weight!G14</f>
        <v>0</v>
      </c>
      <c r="E14" s="1" t="e">
        <f t="shared" si="0"/>
        <v>#REF!</v>
      </c>
      <c r="F14" s="43" t="s">
        <v>200</v>
      </c>
      <c r="G14" s="44"/>
      <c r="H14" s="1"/>
    </row>
    <row r="15" spans="1:8" ht="12.75">
      <c r="A15">
        <f>weight!B15</f>
        <v>9</v>
      </c>
      <c r="B15" s="6" t="s">
        <v>39</v>
      </c>
      <c r="C15">
        <f>weight!D15</f>
        <v>0</v>
      </c>
      <c r="D15">
        <f>weight!G15</f>
        <v>0</v>
      </c>
      <c r="E15" s="1" t="e">
        <f t="shared" si="0"/>
        <v>#REF!</v>
      </c>
      <c r="F15" s="43" t="s">
        <v>201</v>
      </c>
      <c r="G15" s="44"/>
      <c r="H15" s="1"/>
    </row>
    <row r="16" spans="1:8" ht="12.75">
      <c r="A16">
        <f>weight!B16</f>
        <v>10</v>
      </c>
      <c r="B16" s="6" t="s">
        <v>40</v>
      </c>
      <c r="C16">
        <f>weight!D16</f>
        <v>0</v>
      </c>
      <c r="D16">
        <f>weight!G16</f>
        <v>0</v>
      </c>
      <c r="E16" s="1" t="e">
        <f t="shared" si="0"/>
        <v>#REF!</v>
      </c>
      <c r="F16" s="43"/>
      <c r="G16" s="44"/>
      <c r="H16" s="1"/>
    </row>
    <row r="17" spans="1:8" ht="12.75">
      <c r="A17">
        <f>weight!B17</f>
        <v>11</v>
      </c>
      <c r="B17" s="6" t="s">
        <v>41</v>
      </c>
      <c r="C17">
        <f>weight!D17</f>
        <v>0</v>
      </c>
      <c r="D17">
        <f>weight!G17</f>
        <v>0</v>
      </c>
      <c r="E17" s="1" t="e">
        <f t="shared" si="0"/>
        <v>#REF!</v>
      </c>
      <c r="F17" s="43"/>
      <c r="G17" s="44"/>
      <c r="H17" s="1"/>
    </row>
    <row r="18" spans="1:8" ht="12.75">
      <c r="A18">
        <f>weight!B18</f>
        <v>12</v>
      </c>
      <c r="B18" s="6" t="s">
        <v>42</v>
      </c>
      <c r="C18">
        <f>weight!D18</f>
        <v>0</v>
      </c>
      <c r="D18">
        <f>weight!G18</f>
        <v>0</v>
      </c>
      <c r="E18" s="1" t="e">
        <f t="shared" si="0"/>
        <v>#REF!</v>
      </c>
      <c r="F18" s="43"/>
      <c r="G18" s="44"/>
      <c r="H18" s="1"/>
    </row>
    <row r="19" spans="1:8" ht="12.75">
      <c r="A19">
        <f>weight!B19</f>
        <v>13</v>
      </c>
      <c r="B19" s="6" t="s">
        <v>43</v>
      </c>
      <c r="C19">
        <f>weight!D19</f>
        <v>0</v>
      </c>
      <c r="D19">
        <f>weight!G19</f>
        <v>0</v>
      </c>
      <c r="E19" s="1" t="e">
        <f t="shared" si="0"/>
        <v>#REF!</v>
      </c>
      <c r="F19" s="43"/>
      <c r="G19" s="44"/>
      <c r="H19" s="1"/>
    </row>
    <row r="20" spans="1:8" ht="12.75">
      <c r="A20">
        <f>weight!B20</f>
        <v>14</v>
      </c>
      <c r="B20" s="6" t="s">
        <v>44</v>
      </c>
      <c r="C20">
        <f>weight!D20</f>
        <v>0</v>
      </c>
      <c r="D20">
        <f>weight!G20</f>
        <v>0</v>
      </c>
      <c r="E20" s="1" t="e">
        <f t="shared" si="0"/>
        <v>#REF!</v>
      </c>
      <c r="F20" s="43"/>
      <c r="G20" s="44"/>
      <c r="H20" s="1"/>
    </row>
    <row r="21" spans="1:8" ht="12.75">
      <c r="A21">
        <f>weight!B21</f>
        <v>15</v>
      </c>
      <c r="B21" s="6" t="s">
        <v>45</v>
      </c>
      <c r="C21">
        <f>weight!D21</f>
        <v>0</v>
      </c>
      <c r="D21">
        <f>weight!G21</f>
        <v>0</v>
      </c>
      <c r="E21" s="1" t="e">
        <f t="shared" si="0"/>
        <v>#REF!</v>
      </c>
      <c r="F21" s="43"/>
      <c r="G21" s="44"/>
      <c r="H21" s="1"/>
    </row>
    <row r="22" spans="1:8" ht="12.75">
      <c r="A22">
        <f>weight!B22</f>
        <v>16</v>
      </c>
      <c r="B22" s="6" t="s">
        <v>46</v>
      </c>
      <c r="C22">
        <f>weight!D22</f>
        <v>0</v>
      </c>
      <c r="D22">
        <f>weight!G22</f>
        <v>0</v>
      </c>
      <c r="E22" s="1" t="e">
        <f t="shared" si="0"/>
        <v>#REF!</v>
      </c>
      <c r="F22" s="43"/>
      <c r="G22" s="44"/>
      <c r="H22" s="1"/>
    </row>
    <row r="23" spans="1:8" ht="12.75">
      <c r="A23">
        <f>weight!B23</f>
        <v>17</v>
      </c>
      <c r="B23" s="6" t="s">
        <v>47</v>
      </c>
      <c r="C23">
        <f>weight!D23</f>
        <v>0</v>
      </c>
      <c r="D23">
        <f>weight!G23</f>
        <v>0</v>
      </c>
      <c r="E23" s="1" t="e">
        <f t="shared" si="0"/>
        <v>#REF!</v>
      </c>
      <c r="F23" s="43"/>
      <c r="G23" s="44"/>
      <c r="H23" s="1"/>
    </row>
    <row r="24" spans="1:8" ht="12.75">
      <c r="A24">
        <f>weight!B24</f>
        <v>18</v>
      </c>
      <c r="B24" s="6" t="s">
        <v>48</v>
      </c>
      <c r="C24">
        <f>weight!D24</f>
        <v>0</v>
      </c>
      <c r="D24">
        <f>weight!G24</f>
        <v>0</v>
      </c>
      <c r="E24" s="1" t="e">
        <f t="shared" si="0"/>
        <v>#REF!</v>
      </c>
      <c r="F24" s="43"/>
      <c r="G24" s="44"/>
      <c r="H24" s="1"/>
    </row>
    <row r="25" spans="1:8" ht="12.75">
      <c r="A25">
        <f>weight!B25</f>
        <v>19</v>
      </c>
      <c r="B25" s="6" t="s">
        <v>49</v>
      </c>
      <c r="C25">
        <f>weight!D25</f>
        <v>0</v>
      </c>
      <c r="D25">
        <f>weight!G25</f>
        <v>0</v>
      </c>
      <c r="E25" s="1" t="e">
        <f t="shared" si="0"/>
        <v>#REF!</v>
      </c>
      <c r="F25" s="43"/>
      <c r="G25" s="44"/>
      <c r="H25" s="1"/>
    </row>
    <row r="26" spans="1:8" ht="12.75">
      <c r="A26">
        <f>weight!B26</f>
        <v>20</v>
      </c>
      <c r="B26" s="6" t="s">
        <v>50</v>
      </c>
      <c r="C26">
        <f>weight!D26</f>
        <v>0</v>
      </c>
      <c r="D26">
        <f>weight!G26</f>
        <v>0</v>
      </c>
      <c r="E26" s="1" t="e">
        <f t="shared" si="0"/>
        <v>#REF!</v>
      </c>
      <c r="F26" s="45"/>
      <c r="G26" s="46"/>
      <c r="H26" s="1"/>
    </row>
    <row r="27" spans="2:8" ht="12.75">
      <c r="B27" s="29"/>
      <c r="E27" s="1"/>
      <c r="F27" s="1"/>
      <c r="G27" s="9"/>
      <c r="H27" s="1"/>
    </row>
    <row r="28" spans="2:8" ht="12.75">
      <c r="B28" s="29"/>
      <c r="E28" s="1"/>
      <c r="F28" s="1"/>
      <c r="G28" s="9"/>
      <c r="H28" s="1"/>
    </row>
    <row r="29" spans="2:5" ht="12.75">
      <c r="B29" s="29"/>
      <c r="C29">
        <f>SUM(C7:C28)</f>
        <v>0</v>
      </c>
      <c r="E29" s="1" t="e">
        <f>SUM(E7:E28)</f>
        <v>#REF!</v>
      </c>
    </row>
    <row r="30" spans="2:5" ht="12.75">
      <c r="B30" s="29"/>
      <c r="E30" s="1"/>
    </row>
    <row r="31" spans="2:5" ht="12.75">
      <c r="B31" s="29"/>
      <c r="E31" t="s">
        <v>182</v>
      </c>
    </row>
    <row r="32" spans="2:5" ht="12.75">
      <c r="B32" s="29"/>
      <c r="E32" t="s">
        <v>183</v>
      </c>
    </row>
    <row r="33" spans="2:5" ht="12.75">
      <c r="B33" s="29"/>
      <c r="E33" t="s">
        <v>148</v>
      </c>
    </row>
    <row r="34" ht="12.75">
      <c r="B34" s="29"/>
    </row>
    <row r="35" spans="1:2" ht="12.75">
      <c r="A35" t="s">
        <v>179</v>
      </c>
      <c r="B35" s="29"/>
    </row>
    <row r="36" spans="1:2" ht="12.75">
      <c r="A36" t="s">
        <v>180</v>
      </c>
      <c r="B36" s="29"/>
    </row>
    <row r="37" ht="12.75">
      <c r="B37" s="29"/>
    </row>
    <row r="38" spans="1:13" ht="12.75">
      <c r="A38" s="37" t="s">
        <v>181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2" ht="12.75">
      <c r="A39" s="1"/>
      <c r="B39" s="29"/>
    </row>
    <row r="40" spans="1:2" ht="12.75">
      <c r="A40" s="32" t="s">
        <v>159</v>
      </c>
      <c r="B40" s="29"/>
    </row>
    <row r="41" spans="1:2" ht="12.75">
      <c r="A41" s="28" t="s">
        <v>160</v>
      </c>
      <c r="B41" s="29"/>
    </row>
    <row r="42" spans="1:2" ht="12.75">
      <c r="A42" s="28" t="s">
        <v>161</v>
      </c>
      <c r="B42" s="29"/>
    </row>
    <row r="43" spans="1:2" ht="12.75">
      <c r="A43" s="28" t="s">
        <v>162</v>
      </c>
      <c r="B43" s="29"/>
    </row>
    <row r="44" spans="1:2" ht="12.75">
      <c r="A44" s="28"/>
      <c r="B44" s="29"/>
    </row>
    <row r="45" spans="1:2" ht="12.75">
      <c r="A45" s="28"/>
      <c r="B45" s="29"/>
    </row>
    <row r="46" spans="1:11" ht="12.75">
      <c r="A46" t="s">
        <v>178</v>
      </c>
      <c r="B46" s="29"/>
      <c r="K46">
        <f>D8</f>
        <v>0</v>
      </c>
    </row>
    <row r="47" spans="1:11" ht="12.75">
      <c r="A47" t="s">
        <v>163</v>
      </c>
      <c r="B47" s="29"/>
      <c r="K47">
        <f>MATCH(D8,x_sta_sag)</f>
        <v>21</v>
      </c>
    </row>
    <row r="48" spans="1:11" ht="12.75">
      <c r="A48" t="s">
        <v>164</v>
      </c>
      <c r="B48" s="29"/>
      <c r="E48" t="s">
        <v>165</v>
      </c>
      <c r="H48" t="s">
        <v>176</v>
      </c>
      <c r="K48">
        <f>INDEX(x_sta_sag,K47)</f>
        <v>0</v>
      </c>
    </row>
    <row r="49" spans="1:11" ht="12.75">
      <c r="A49" t="s">
        <v>166</v>
      </c>
      <c r="B49" s="29"/>
      <c r="E49" t="s">
        <v>167</v>
      </c>
      <c r="H49" t="s">
        <v>177</v>
      </c>
      <c r="K49" t="e">
        <f>INDEX(x_sta_sag,K47+1)</f>
        <v>#REF!</v>
      </c>
    </row>
    <row r="50" spans="1:12" ht="12.75">
      <c r="A50" t="s">
        <v>170</v>
      </c>
      <c r="B50" s="29"/>
      <c r="G50" t="s">
        <v>171</v>
      </c>
      <c r="K50">
        <f>INDEX(interpolated_area_sagging,K47)</f>
        <v>0.5794975844790246</v>
      </c>
      <c r="L50" t="str">
        <f>"= SAi in units or inches"</f>
        <v>= SAi in units or inches</v>
      </c>
    </row>
    <row r="51" ht="12.75">
      <c r="B51" s="29"/>
    </row>
    <row r="52" spans="1:12" ht="12.75">
      <c r="A52" t="s">
        <v>168</v>
      </c>
      <c r="B52" s="29"/>
      <c r="G52" t="s">
        <v>169</v>
      </c>
      <c r="K52" t="e">
        <f>INDEX(interpolated_area_sagging,K47+1)</f>
        <v>#REF!</v>
      </c>
      <c r="L52" t="str">
        <f>"= SAi+1 in units or inches"</f>
        <v>= SAi+1 in units or inches</v>
      </c>
    </row>
    <row r="53" spans="1:11" ht="12.75">
      <c r="A53" s="28" t="s">
        <v>172</v>
      </c>
      <c r="B53" s="29"/>
      <c r="K53" s="28">
        <f>sa_scale_factor*section_spacing/35</f>
        <v>0</v>
      </c>
    </row>
    <row r="54" ht="12.75">
      <c r="B54" s="29"/>
    </row>
    <row r="55" spans="1:2" ht="12.75">
      <c r="A55" t="s">
        <v>173</v>
      </c>
      <c r="B55" s="29"/>
    </row>
    <row r="56" spans="1:11" ht="12.75">
      <c r="A56" t="s">
        <v>175</v>
      </c>
      <c r="B56" s="29"/>
      <c r="K56" t="e">
        <f>(K46-K48)/(K49-K48)*(K52-K50)+K50</f>
        <v>#REF!</v>
      </c>
    </row>
    <row r="57" spans="1:11" ht="12.75">
      <c r="A57" t="s">
        <v>174</v>
      </c>
      <c r="B57" s="29"/>
      <c r="K57" t="e">
        <f>K56*K53</f>
        <v>#REF!</v>
      </c>
    </row>
    <row r="58" ht="12.75">
      <c r="B58" s="29"/>
    </row>
    <row r="59" ht="12.75">
      <c r="B59" s="29"/>
    </row>
  </sheetData>
  <mergeCells count="1">
    <mergeCell ref="A38:M3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F7" sqref="F7:G26"/>
    </sheetView>
  </sheetViews>
  <sheetFormatPr defaultColWidth="9.140625" defaultRowHeight="12.75"/>
  <sheetData>
    <row r="1" spans="1:2" ht="12.75">
      <c r="A1" s="4" t="s">
        <v>152</v>
      </c>
      <c r="B1" s="4"/>
    </row>
    <row r="4" spans="1:7" ht="12.75">
      <c r="A4" t="s">
        <v>145</v>
      </c>
      <c r="B4" s="28" t="s">
        <v>20</v>
      </c>
      <c r="D4" t="s">
        <v>147</v>
      </c>
      <c r="E4" t="s">
        <v>19</v>
      </c>
      <c r="F4" t="s">
        <v>153</v>
      </c>
      <c r="G4" t="s">
        <v>154</v>
      </c>
    </row>
    <row r="5" spans="1:6" ht="12.75">
      <c r="A5" t="s">
        <v>146</v>
      </c>
      <c r="B5" s="29" t="s">
        <v>23</v>
      </c>
      <c r="C5" t="s">
        <v>5</v>
      </c>
      <c r="E5" t="s">
        <v>5</v>
      </c>
      <c r="F5" t="s">
        <v>5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6" t="s">
        <v>31</v>
      </c>
      <c r="C7" s="9">
        <f>weight!D7</f>
        <v>0</v>
      </c>
      <c r="D7" s="3">
        <f>weight!G7</f>
        <v>0</v>
      </c>
      <c r="E7" s="9" t="e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#REF!</v>
      </c>
      <c r="F7" s="41"/>
      <c r="G7" s="42"/>
    </row>
    <row r="8" spans="1:7" ht="12.75">
      <c r="A8">
        <f>weight!B8</f>
        <v>2</v>
      </c>
      <c r="B8" s="6" t="s">
        <v>32</v>
      </c>
      <c r="C8" s="9">
        <f>weight!D8</f>
        <v>0</v>
      </c>
      <c r="D8" s="3">
        <f>weight!G8</f>
        <v>0</v>
      </c>
      <c r="E8" s="9" t="e">
        <f t="shared" si="0"/>
        <v>#REF!</v>
      </c>
      <c r="F8" s="43"/>
      <c r="G8" s="44"/>
    </row>
    <row r="9" spans="1:7" ht="12.75">
      <c r="A9">
        <f>weight!B9</f>
        <v>3</v>
      </c>
      <c r="B9" s="6" t="s">
        <v>33</v>
      </c>
      <c r="C9" s="9">
        <f>weight!D9</f>
        <v>0</v>
      </c>
      <c r="D9" s="3">
        <f>weight!G9</f>
        <v>0</v>
      </c>
      <c r="E9" s="9" t="e">
        <f t="shared" si="0"/>
        <v>#REF!</v>
      </c>
      <c r="F9" s="43"/>
      <c r="G9" s="44"/>
    </row>
    <row r="10" spans="1:7" ht="12.75">
      <c r="A10">
        <f>weight!B10</f>
        <v>4</v>
      </c>
      <c r="B10" s="6" t="s">
        <v>34</v>
      </c>
      <c r="C10" s="9">
        <f>weight!D10</f>
        <v>0</v>
      </c>
      <c r="D10" s="3">
        <f>weight!G10</f>
        <v>0</v>
      </c>
      <c r="E10" s="9" t="e">
        <f t="shared" si="0"/>
        <v>#REF!</v>
      </c>
      <c r="F10" s="43"/>
      <c r="G10" s="44"/>
    </row>
    <row r="11" spans="1:7" ht="12.75">
      <c r="A11">
        <f>weight!B11</f>
        <v>5</v>
      </c>
      <c r="B11" s="6" t="s">
        <v>35</v>
      </c>
      <c r="C11" s="9">
        <f>weight!D11</f>
        <v>0</v>
      </c>
      <c r="D11" s="3">
        <f>weight!G11</f>
        <v>0</v>
      </c>
      <c r="E11" s="9" t="e">
        <f t="shared" si="0"/>
        <v>#REF!</v>
      </c>
      <c r="F11" s="43"/>
      <c r="G11" s="44"/>
    </row>
    <row r="12" spans="1:7" ht="12.75">
      <c r="A12">
        <f>weight!B12</f>
        <v>6</v>
      </c>
      <c r="B12" s="6" t="s">
        <v>36</v>
      </c>
      <c r="C12" s="9">
        <f>weight!D12</f>
        <v>0</v>
      </c>
      <c r="D12" s="3">
        <f>weight!G12</f>
        <v>0</v>
      </c>
      <c r="E12" s="9" t="e">
        <f t="shared" si="0"/>
        <v>#REF!</v>
      </c>
      <c r="F12" s="43"/>
      <c r="G12" s="44"/>
    </row>
    <row r="13" spans="1:7" ht="12.75">
      <c r="A13">
        <f>weight!B13</f>
        <v>7</v>
      </c>
      <c r="B13" s="6" t="s">
        <v>37</v>
      </c>
      <c r="C13" s="9">
        <f>weight!D13</f>
        <v>0</v>
      </c>
      <c r="D13" s="3">
        <f>weight!G13</f>
        <v>0</v>
      </c>
      <c r="E13" s="9" t="e">
        <f t="shared" si="0"/>
        <v>#REF!</v>
      </c>
      <c r="F13" s="43"/>
      <c r="G13" s="44"/>
    </row>
    <row r="14" spans="1:7" ht="12.75">
      <c r="A14">
        <f>weight!B14</f>
        <v>8</v>
      </c>
      <c r="B14" s="6" t="s">
        <v>38</v>
      </c>
      <c r="C14" s="9">
        <f>weight!D14</f>
        <v>0</v>
      </c>
      <c r="D14" s="3">
        <f>weight!G14</f>
        <v>0</v>
      </c>
      <c r="E14" s="9" t="e">
        <f t="shared" si="0"/>
        <v>#REF!</v>
      </c>
      <c r="F14" s="43" t="s">
        <v>200</v>
      </c>
      <c r="G14" s="44"/>
    </row>
    <row r="15" spans="1:7" ht="12.75">
      <c r="A15">
        <f>weight!B15</f>
        <v>9</v>
      </c>
      <c r="B15" s="6" t="s">
        <v>39</v>
      </c>
      <c r="C15" s="9">
        <f>weight!D15</f>
        <v>0</v>
      </c>
      <c r="D15" s="3">
        <f>weight!G15</f>
        <v>0</v>
      </c>
      <c r="E15" s="9" t="e">
        <f t="shared" si="0"/>
        <v>#REF!</v>
      </c>
      <c r="F15" s="43" t="s">
        <v>201</v>
      </c>
      <c r="G15" s="44"/>
    </row>
    <row r="16" spans="1:7" ht="12.75">
      <c r="A16">
        <f>weight!B16</f>
        <v>10</v>
      </c>
      <c r="B16" s="6" t="s">
        <v>40</v>
      </c>
      <c r="C16" s="9">
        <f>weight!D16</f>
        <v>0</v>
      </c>
      <c r="D16" s="3">
        <f>weight!G16</f>
        <v>0</v>
      </c>
      <c r="E16" s="9" t="e">
        <f t="shared" si="0"/>
        <v>#REF!</v>
      </c>
      <c r="F16" s="43"/>
      <c r="G16" s="44"/>
    </row>
    <row r="17" spans="1:7" ht="12.75">
      <c r="A17">
        <f>weight!B17</f>
        <v>11</v>
      </c>
      <c r="B17" s="6" t="s">
        <v>41</v>
      </c>
      <c r="C17" s="9">
        <f>weight!D17</f>
        <v>0</v>
      </c>
      <c r="D17" s="3">
        <f>weight!G17</f>
        <v>0</v>
      </c>
      <c r="E17" s="9" t="e">
        <f t="shared" si="0"/>
        <v>#REF!</v>
      </c>
      <c r="F17" s="43"/>
      <c r="G17" s="44"/>
    </row>
    <row r="18" spans="1:7" ht="12.75">
      <c r="A18">
        <f>weight!B18</f>
        <v>12</v>
      </c>
      <c r="B18" s="6" t="s">
        <v>42</v>
      </c>
      <c r="C18" s="9">
        <f>weight!D18</f>
        <v>0</v>
      </c>
      <c r="D18" s="3">
        <f>weight!G18</f>
        <v>0</v>
      </c>
      <c r="E18" s="9" t="e">
        <f t="shared" si="0"/>
        <v>#REF!</v>
      </c>
      <c r="F18" s="43"/>
      <c r="G18" s="44"/>
    </row>
    <row r="19" spans="1:7" ht="12.75">
      <c r="A19">
        <f>weight!B19</f>
        <v>13</v>
      </c>
      <c r="B19" s="6" t="s">
        <v>43</v>
      </c>
      <c r="C19" s="9">
        <f>weight!D19</f>
        <v>0</v>
      </c>
      <c r="D19" s="3">
        <f>weight!G19</f>
        <v>0</v>
      </c>
      <c r="E19" s="9" t="e">
        <f t="shared" si="0"/>
        <v>#REF!</v>
      </c>
      <c r="F19" s="43"/>
      <c r="G19" s="44"/>
    </row>
    <row r="20" spans="1:7" ht="12.75">
      <c r="A20">
        <f>weight!B20</f>
        <v>14</v>
      </c>
      <c r="B20" s="6" t="s">
        <v>44</v>
      </c>
      <c r="C20" s="9">
        <f>weight!D20</f>
        <v>0</v>
      </c>
      <c r="D20" s="3">
        <f>weight!G20</f>
        <v>0</v>
      </c>
      <c r="E20" s="9" t="e">
        <f t="shared" si="0"/>
        <v>#REF!</v>
      </c>
      <c r="F20" s="43"/>
      <c r="G20" s="44"/>
    </row>
    <row r="21" spans="1:7" ht="12.75">
      <c r="A21">
        <f>weight!B21</f>
        <v>15</v>
      </c>
      <c r="B21" s="6" t="s">
        <v>45</v>
      </c>
      <c r="C21" s="9">
        <f>weight!D21</f>
        <v>0</v>
      </c>
      <c r="D21" s="3">
        <f>weight!G21</f>
        <v>0</v>
      </c>
      <c r="E21" s="9" t="e">
        <f t="shared" si="0"/>
        <v>#REF!</v>
      </c>
      <c r="F21" s="43"/>
      <c r="G21" s="44"/>
    </row>
    <row r="22" spans="1:7" ht="12.75">
      <c r="A22">
        <f>weight!B22</f>
        <v>16</v>
      </c>
      <c r="B22" s="6" t="s">
        <v>46</v>
      </c>
      <c r="C22" s="9">
        <f>weight!D22</f>
        <v>0</v>
      </c>
      <c r="D22" s="3">
        <f>weight!G22</f>
        <v>0</v>
      </c>
      <c r="E22" s="9" t="e">
        <f t="shared" si="0"/>
        <v>#REF!</v>
      </c>
      <c r="F22" s="43"/>
      <c r="G22" s="44"/>
    </row>
    <row r="23" spans="1:7" ht="12.75">
      <c r="A23">
        <f>weight!B23</f>
        <v>17</v>
      </c>
      <c r="B23" s="6" t="s">
        <v>47</v>
      </c>
      <c r="C23" s="9">
        <f>weight!D23</f>
        <v>0</v>
      </c>
      <c r="D23" s="3">
        <f>weight!G23</f>
        <v>0</v>
      </c>
      <c r="E23" s="9" t="e">
        <f t="shared" si="0"/>
        <v>#REF!</v>
      </c>
      <c r="F23" s="43"/>
      <c r="G23" s="44"/>
    </row>
    <row r="24" spans="1:7" ht="12.75">
      <c r="A24">
        <f>weight!B24</f>
        <v>18</v>
      </c>
      <c r="B24" s="6" t="s">
        <v>48</v>
      </c>
      <c r="C24" s="9">
        <f>weight!D24</f>
        <v>0</v>
      </c>
      <c r="D24" s="3">
        <f>weight!G24</f>
        <v>0</v>
      </c>
      <c r="E24" s="9" t="e">
        <f t="shared" si="0"/>
        <v>#REF!</v>
      </c>
      <c r="F24" s="43"/>
      <c r="G24" s="44"/>
    </row>
    <row r="25" spans="1:7" ht="12.75">
      <c r="A25">
        <f>weight!B25</f>
        <v>19</v>
      </c>
      <c r="B25" s="6" t="s">
        <v>49</v>
      </c>
      <c r="C25" s="9">
        <f>weight!D25</f>
        <v>0</v>
      </c>
      <c r="D25" s="3">
        <f>weight!G25</f>
        <v>0</v>
      </c>
      <c r="E25" s="9" t="e">
        <f t="shared" si="0"/>
        <v>#REF!</v>
      </c>
      <c r="F25" s="43"/>
      <c r="G25" s="44"/>
    </row>
    <row r="26" spans="1:7" ht="12.75">
      <c r="A26">
        <f>weight!B26</f>
        <v>20</v>
      </c>
      <c r="B26" s="6" t="s">
        <v>50</v>
      </c>
      <c r="C26" s="9">
        <f>weight!D26</f>
        <v>0</v>
      </c>
      <c r="D26" s="3">
        <f>weight!G26</f>
        <v>0</v>
      </c>
      <c r="E26" s="9" t="e">
        <f t="shared" si="0"/>
        <v>#REF!</v>
      </c>
      <c r="F26" s="45"/>
      <c r="G26" s="46"/>
    </row>
    <row r="27" spans="6:7" ht="12.75">
      <c r="F27" s="1"/>
      <c r="G27" s="1"/>
    </row>
    <row r="28" spans="6:7" ht="12.75">
      <c r="F28" s="1"/>
      <c r="G28" s="1"/>
    </row>
    <row r="30" spans="3:5" ht="12.75">
      <c r="C30" s="9">
        <f>SUM(C7:C29)</f>
        <v>0</v>
      </c>
      <c r="E30" t="e">
        <f>SUM(E7:E29)</f>
        <v>#REF!</v>
      </c>
    </row>
    <row r="32" spans="6:14" ht="12.75"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39" t="s">
        <v>184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5" spans="1:4" ht="12.75">
      <c r="A35" t="s">
        <v>185</v>
      </c>
      <c r="D35">
        <f>MATCH(D7,x_sta_still)</f>
        <v>21</v>
      </c>
    </row>
    <row r="36" spans="1:4" ht="12.75">
      <c r="A36" t="s">
        <v>186</v>
      </c>
      <c r="D36">
        <f>INDEX(x_sta_still,MATCH(D7,x_sta_still))</f>
        <v>0</v>
      </c>
    </row>
    <row r="37" spans="1:6" ht="12.75">
      <c r="A37" t="s">
        <v>187</v>
      </c>
      <c r="F37" t="e">
        <f>INDEX(x_sta_still,MATCH(D7,x_sta_still)+1)</f>
        <v>#REF!</v>
      </c>
    </row>
    <row r="38" spans="1:11" ht="12.75">
      <c r="A38" t="s">
        <v>188</v>
      </c>
      <c r="F38" t="e">
        <f>INDEX(interpolated_area_still,MATCH(D7,x_sta_still)+1)</f>
        <v>#REF!</v>
      </c>
      <c r="G38" s="33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189</v>
      </c>
      <c r="F39">
        <f>INDEX(interpolated_area_still,MATCH(D7,x_sta_still))</f>
        <v>0.5011139720142592</v>
      </c>
      <c r="G39" s="33">
        <v>0.0003238688173772592</v>
      </c>
      <c r="H39">
        <f>G39*sa_scale_factor</f>
        <v>0.19432129042635551</v>
      </c>
    </row>
    <row r="40" spans="1:6" ht="12.75">
      <c r="A40" t="s">
        <v>190</v>
      </c>
      <c r="F40">
        <f>INDEX(interpolated_area_still,MATCH(D7,x_sta_still))</f>
        <v>0.5011139720142592</v>
      </c>
    </row>
    <row r="42" spans="1:8" ht="12.75">
      <c r="A42" t="s">
        <v>191</v>
      </c>
      <c r="F42" t="e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#REF!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162</v>
      </c>
      <c r="F43">
        <f>sa_scale_factor*section_spacing/35</f>
        <v>0</v>
      </c>
      <c r="H43" s="1">
        <f>H42*section_spacing/cu_ft_per_ton</f>
        <v>0</v>
      </c>
    </row>
    <row r="45" spans="1:6" ht="12.75">
      <c r="A45" t="s">
        <v>192</v>
      </c>
      <c r="F45" t="e">
        <f>F42*F43</f>
        <v>#REF!</v>
      </c>
    </row>
  </sheetData>
  <mergeCells count="1">
    <mergeCell ref="A33:N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</dc:creator>
  <cp:keywords/>
  <dc:description/>
  <cp:lastModifiedBy>dave burke</cp:lastModifiedBy>
  <dcterms:created xsi:type="dcterms:W3CDTF">2003-02-04T13:16:17Z</dcterms:created>
  <dcterms:modified xsi:type="dcterms:W3CDTF">2003-02-07T16:04:51Z</dcterms:modified>
  <cp:category/>
  <cp:version/>
  <cp:contentType/>
  <cp:contentStatus/>
</cp:coreProperties>
</file>