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5491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<sst xmlns="http://schemas.openxmlformats.org/spreadsheetml/2006/main" count="20" uniqueCount="20">
  <si>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Position (µm)</t>
  </si>
  <si>
    <t>CB edge (eV)</t>
  </si>
  <si>
    <t>VB edge (eV)</t>
  </si>
  <si>
    <t>Energy Gap (eV)</t>
  </si>
  <si>
    <t>Fermi Level (eV)</t>
  </si>
  <si>
    <t>Energy gap (eV):</t>
  </si>
  <si>
    <t>Applied voltage (V):</t>
  </si>
  <si>
    <t>Depletion regiion width (µm):</t>
  </si>
  <si>
    <r>
      <t xml:space="preserve">Electron affinity, </t>
    </r>
    <r>
      <rPr>
        <sz val="9"/>
        <rFont val="Symbol"/>
        <family val="0"/>
      </rPr>
      <t>c</t>
    </r>
    <r>
      <rPr>
        <sz val="9"/>
        <rFont val="Geneva"/>
        <family val="0"/>
      </rPr>
      <t xml:space="preserve"> (eV):</t>
    </r>
  </si>
  <si>
    <r>
      <t>c</t>
    </r>
    <r>
      <rPr>
        <b/>
        <sz val="9"/>
        <rFont val="Geneva"/>
        <family val="0"/>
      </rPr>
      <t xml:space="preserve"> (eV)</t>
    </r>
  </si>
  <si>
    <t>Potential step at junction (V):</t>
  </si>
  <si>
    <t>Total</t>
  </si>
  <si>
    <t>n-region, x &lt; 0</t>
  </si>
  <si>
    <t>p-region, x &gt; 0</t>
  </si>
  <si>
    <t>|Ev,c - Ef| @ |x| &gt;&gt; 0</t>
  </si>
  <si>
    <t>Thermal voltage, kT (V):</t>
  </si>
  <si>
    <t>Potential (eV)</t>
  </si>
  <si>
    <t>Relative dielectric constant:</t>
  </si>
  <si>
    <t>Majority density.of states (10E17 cm-3):</t>
  </si>
  <si>
    <t>Net doping level, NA,D (10E17 cm-3)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</si>
</sst>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Symbol"/>
      <family val="0"/>
    </font>
    <font>
      <sz val="9"/>
      <name val="Symbol"/>
      <family val="0"/>
    </font>
    <font>
      <b/>
      <sz val="16.25"/>
      <name val="Geneva"/>
      <family val="0"/>
    </font>
    <font>
      <b/>
      <sz val="12"/>
      <name val="Geneva"/>
      <family val="0"/>
    </font>
    <font>
      <sz val="12"/>
      <name val="Geneva"/>
      <family val="0"/>
    </font>
    <font>
      <sz val="14"/>
      <name val="Geneva"/>
      <family val="0"/>
    </font>
    <font>
      <vertAlign val="subscript"/>
      <sz val="14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Geneva"/>
                <a:ea typeface="Geneva"/>
                <a:cs typeface="Geneva"/>
              </a:rPr>
              <a:t>N-p Heterojuction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1975"/>
          <c:w val="0.702"/>
          <c:h val="0.78075"/>
        </c:manualLayout>
      </c:layout>
      <c:scatterChart>
        <c:scatterStyle val="smooth"/>
        <c:varyColors val="0"/>
        <c:ser>
          <c:idx val="0"/>
          <c:order val="0"/>
          <c:tx>
            <c:v>Electrostatic Potential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Sheet1!$B$19:$B$43</c:f>
              <c:numCache>
                <c:ptCount val="25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  <c:pt idx="12">
                  <c:v>0</c:v>
                </c:pt>
                <c:pt idx="13">
                  <c:v>1.0540000144849862E-05</c:v>
                </c:pt>
                <c:pt idx="14">
                  <c:v>0.0010540000144849862</c:v>
                </c:pt>
                <c:pt idx="15">
                  <c:v>0.0021080000289699723</c:v>
                </c:pt>
                <c:pt idx="16">
                  <c:v>0.0031620000434549587</c:v>
                </c:pt>
                <c:pt idx="17">
                  <c:v>0.004216000057939945</c:v>
                </c:pt>
                <c:pt idx="18">
                  <c:v>0.005270000072424931</c:v>
                </c:pt>
                <c:pt idx="19">
                  <c:v>0.006324000086909917</c:v>
                </c:pt>
                <c:pt idx="20">
                  <c:v>0.007378000101394903</c:v>
                </c:pt>
                <c:pt idx="21">
                  <c:v>0.00843200011587989</c:v>
                </c:pt>
                <c:pt idx="22">
                  <c:v>0.009486000130364877</c:v>
                </c:pt>
                <c:pt idx="23">
                  <c:v>0.010540000144849862</c:v>
                </c:pt>
                <c:pt idx="24">
                  <c:v>0.021080000289699724</c:v>
                </c:pt>
              </c:numCache>
            </c:numRef>
          </c:xVal>
          <c:yVal>
            <c:numRef>
              <c:f>Sheet1!$E$19:$E$43</c:f>
              <c:numCache>
                <c:ptCount val="25"/>
                <c:pt idx="0">
                  <c:v>-1.5773061180254468</c:v>
                </c:pt>
                <c:pt idx="1">
                  <c:v>-1.5773061180254468</c:v>
                </c:pt>
                <c:pt idx="2">
                  <c:v>-1.563084505485873</c:v>
                </c:pt>
                <c:pt idx="3">
                  <c:v>-1.5204196678671522</c:v>
                </c:pt>
                <c:pt idx="4">
                  <c:v>-1.4493116051692836</c:v>
                </c:pt>
                <c:pt idx="5">
                  <c:v>-1.3497603173922677</c:v>
                </c:pt>
                <c:pt idx="6">
                  <c:v>-1.2217658045361044</c:v>
                </c:pt>
                <c:pt idx="7">
                  <c:v>-1.0653280666007936</c:v>
                </c:pt>
                <c:pt idx="8">
                  <c:v>-0.8804471035863356</c:v>
                </c:pt>
                <c:pt idx="9">
                  <c:v>-0.6671229154927302</c:v>
                </c:pt>
                <c:pt idx="10">
                  <c:v>-0.4253555023199771</c:v>
                </c:pt>
                <c:pt idx="11">
                  <c:v>-0.1579877644147376</c:v>
                </c:pt>
                <c:pt idx="12">
                  <c:v>-0.15514486406807673</c:v>
                </c:pt>
                <c:pt idx="13">
                  <c:v>-0.15483472948480467</c:v>
                </c:pt>
                <c:pt idx="14">
                  <c:v>-0.12566733989514217</c:v>
                </c:pt>
                <c:pt idx="15">
                  <c:v>-0.0992927130035691</c:v>
                </c:pt>
                <c:pt idx="16">
                  <c:v>-0.07602098339335761</c:v>
                </c:pt>
                <c:pt idx="17">
                  <c:v>-0.055852151064507624</c:v>
                </c:pt>
                <c:pt idx="18">
                  <c:v>-0.03878621601701918</c:v>
                </c:pt>
                <c:pt idx="19">
                  <c:v>-0.024823178250892274</c:v>
                </c:pt>
                <c:pt idx="20">
                  <c:v>-0.01396303776612691</c:v>
                </c:pt>
                <c:pt idx="21">
                  <c:v>-0.006205794562723072</c:v>
                </c:pt>
                <c:pt idx="22">
                  <c:v>-0.0015514486406807656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Conduction Band, n-side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Sheet1!$F$19:$F$30</c:f>
              <c:numCache>
                <c:ptCount val="12"/>
                <c:pt idx="0">
                  <c:v>-4.577306118025447</c:v>
                </c:pt>
                <c:pt idx="1">
                  <c:v>-4.577306118025447</c:v>
                </c:pt>
                <c:pt idx="2">
                  <c:v>-4.5630845054858735</c:v>
                </c:pt>
                <c:pt idx="3">
                  <c:v>-4.520419667867152</c:v>
                </c:pt>
                <c:pt idx="4">
                  <c:v>-4.449311605169283</c:v>
                </c:pt>
                <c:pt idx="5">
                  <c:v>-4.349760317392268</c:v>
                </c:pt>
                <c:pt idx="6">
                  <c:v>-4.221765804536105</c:v>
                </c:pt>
                <c:pt idx="7">
                  <c:v>-4.065328066600793</c:v>
                </c:pt>
                <c:pt idx="8">
                  <c:v>-3.8804471035863357</c:v>
                </c:pt>
                <c:pt idx="9">
                  <c:v>-3.66712291549273</c:v>
                </c:pt>
                <c:pt idx="10">
                  <c:v>-3.4253555023199773</c:v>
                </c:pt>
                <c:pt idx="11">
                  <c:v>-3.1579877644147376</c:v>
                </c:pt>
              </c:numCache>
            </c:numRef>
          </c:yVal>
          <c:smooth val="1"/>
        </c:ser>
        <c:ser>
          <c:idx val="2"/>
          <c:order val="2"/>
          <c:tx>
            <c:v>Conduction Band, p-side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Sheet1!$F$32:$F$43</c:f>
              <c:numCache>
                <c:ptCount val="12"/>
                <c:pt idx="0">
                  <c:v>-3.9048347294848047</c:v>
                </c:pt>
                <c:pt idx="1">
                  <c:v>-3.8756673398951422</c:v>
                </c:pt>
                <c:pt idx="2">
                  <c:v>-3.8492927130035692</c:v>
                </c:pt>
                <c:pt idx="3">
                  <c:v>-3.8260209833933576</c:v>
                </c:pt>
                <c:pt idx="4">
                  <c:v>-3.805852151064508</c:v>
                </c:pt>
                <c:pt idx="5">
                  <c:v>-3.7887862160170194</c:v>
                </c:pt>
                <c:pt idx="6">
                  <c:v>-3.7748231782508923</c:v>
                </c:pt>
                <c:pt idx="7">
                  <c:v>-3.763963037766127</c:v>
                </c:pt>
                <c:pt idx="8">
                  <c:v>-3.756205794562723</c:v>
                </c:pt>
                <c:pt idx="9">
                  <c:v>-3.7515514486406807</c:v>
                </c:pt>
                <c:pt idx="10">
                  <c:v>-3.75</c:v>
                </c:pt>
                <c:pt idx="11">
                  <c:v>-3.75</c:v>
                </c:pt>
              </c:numCache>
            </c:numRef>
          </c:yVal>
          <c:smooth val="1"/>
        </c:ser>
        <c:ser>
          <c:idx val="3"/>
          <c:order val="3"/>
          <c:tx>
            <c:v>Valence Band, p-side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Sheet1!$G$32:$G$43</c:f>
              <c:numCache>
                <c:ptCount val="12"/>
                <c:pt idx="0">
                  <c:v>-4.904834729484804</c:v>
                </c:pt>
                <c:pt idx="1">
                  <c:v>-4.875667339895142</c:v>
                </c:pt>
                <c:pt idx="2">
                  <c:v>-4.849292713003569</c:v>
                </c:pt>
                <c:pt idx="3">
                  <c:v>-4.826020983393358</c:v>
                </c:pt>
                <c:pt idx="4">
                  <c:v>-4.805852151064508</c:v>
                </c:pt>
                <c:pt idx="5">
                  <c:v>-4.788786216017019</c:v>
                </c:pt>
                <c:pt idx="6">
                  <c:v>-4.774823178250893</c:v>
                </c:pt>
                <c:pt idx="7">
                  <c:v>-4.763963037766127</c:v>
                </c:pt>
                <c:pt idx="8">
                  <c:v>-4.756205794562723</c:v>
                </c:pt>
                <c:pt idx="9">
                  <c:v>-4.751551448640681</c:v>
                </c:pt>
                <c:pt idx="10">
                  <c:v>-4.75</c:v>
                </c:pt>
                <c:pt idx="11">
                  <c:v>-4.75</c:v>
                </c:pt>
              </c:numCache>
            </c:numRef>
          </c:yVal>
          <c:smooth val="1"/>
        </c:ser>
        <c:ser>
          <c:idx val="4"/>
          <c:order val="4"/>
          <c:tx>
            <c:v>Valence Band, n-side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Sheet1!$G$19:$G$30</c:f>
              <c:numCache>
                <c:ptCount val="12"/>
                <c:pt idx="0">
                  <c:v>-6.577306118025447</c:v>
                </c:pt>
                <c:pt idx="1">
                  <c:v>-6.577306118025447</c:v>
                </c:pt>
                <c:pt idx="2">
                  <c:v>-6.5630845054858735</c:v>
                </c:pt>
                <c:pt idx="3">
                  <c:v>-6.520419667867152</c:v>
                </c:pt>
                <c:pt idx="4">
                  <c:v>-6.449311605169283</c:v>
                </c:pt>
                <c:pt idx="5">
                  <c:v>-6.349760317392268</c:v>
                </c:pt>
                <c:pt idx="6">
                  <c:v>-6.221765804536105</c:v>
                </c:pt>
                <c:pt idx="7">
                  <c:v>-6.065328066600793</c:v>
                </c:pt>
                <c:pt idx="8">
                  <c:v>-5.880447103586336</c:v>
                </c:pt>
                <c:pt idx="9">
                  <c:v>-5.66712291549273</c:v>
                </c:pt>
                <c:pt idx="10">
                  <c:v>-5.425355502319977</c:v>
                </c:pt>
                <c:pt idx="11">
                  <c:v>-5.157987764414738</c:v>
                </c:pt>
              </c:numCache>
            </c:numRef>
          </c:yVal>
          <c:smooth val="1"/>
        </c:ser>
        <c:ser>
          <c:idx val="5"/>
          <c:order val="5"/>
          <c:tx>
            <c:v>Fermi level, p-side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Sheet1!$B$32:$B$43</c:f>
              <c:numCache>
                <c:ptCount val="12"/>
                <c:pt idx="0">
                  <c:v>1.0540000144849862E-05</c:v>
                </c:pt>
                <c:pt idx="1">
                  <c:v>0.0010540000144849862</c:v>
                </c:pt>
                <c:pt idx="2">
                  <c:v>0.0021080000289699723</c:v>
                </c:pt>
                <c:pt idx="3">
                  <c:v>0.0031620000434549587</c:v>
                </c:pt>
                <c:pt idx="4">
                  <c:v>0.004216000057939945</c:v>
                </c:pt>
                <c:pt idx="5">
                  <c:v>0.005270000072424931</c:v>
                </c:pt>
                <c:pt idx="6">
                  <c:v>0.006324000086909917</c:v>
                </c:pt>
                <c:pt idx="7">
                  <c:v>0.007378000101394903</c:v>
                </c:pt>
                <c:pt idx="8">
                  <c:v>0.00843200011587989</c:v>
                </c:pt>
                <c:pt idx="9">
                  <c:v>0.009486000130364877</c:v>
                </c:pt>
                <c:pt idx="10">
                  <c:v>0.010540000144849862</c:v>
                </c:pt>
                <c:pt idx="11">
                  <c:v>0.021080000289699724</c:v>
                </c:pt>
              </c:numCache>
            </c:numRef>
          </c:xVal>
          <c:yVal>
            <c:numRef>
              <c:f>Sheet1!$H$32:$H$43</c:f>
              <c:numCache>
                <c:ptCount val="12"/>
                <c:pt idx="0">
                  <c:v>-4.692435372675149</c:v>
                </c:pt>
                <c:pt idx="1">
                  <c:v>-4.692435372675149</c:v>
                </c:pt>
                <c:pt idx="2">
                  <c:v>-4.692435372675149</c:v>
                </c:pt>
                <c:pt idx="3">
                  <c:v>-4.692435372675149</c:v>
                </c:pt>
                <c:pt idx="4">
                  <c:v>-4.692435372675149</c:v>
                </c:pt>
                <c:pt idx="5">
                  <c:v>-4.692435372675149</c:v>
                </c:pt>
                <c:pt idx="6">
                  <c:v>-4.692435372675149</c:v>
                </c:pt>
                <c:pt idx="7">
                  <c:v>-4.692435372675149</c:v>
                </c:pt>
                <c:pt idx="8">
                  <c:v>-4.692435372675149</c:v>
                </c:pt>
                <c:pt idx="9">
                  <c:v>-4.692435372675149</c:v>
                </c:pt>
                <c:pt idx="10">
                  <c:v>-4.692435372675149</c:v>
                </c:pt>
                <c:pt idx="11">
                  <c:v>-4.692435372675149</c:v>
                </c:pt>
              </c:numCache>
            </c:numRef>
          </c:yVal>
          <c:smooth val="1"/>
        </c:ser>
        <c:ser>
          <c:idx val="6"/>
          <c:order val="6"/>
          <c:tx>
            <c:v>Fermi level, n-side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Sheet1!$B$19:$B$30</c:f>
              <c:numCache>
                <c:ptCount val="12"/>
                <c:pt idx="0">
                  <c:v>-0.2108000028969972</c:v>
                </c:pt>
                <c:pt idx="1">
                  <c:v>-0.1054000014484986</c:v>
                </c:pt>
                <c:pt idx="2">
                  <c:v>-0.09486000130364874</c:v>
                </c:pt>
                <c:pt idx="3">
                  <c:v>-0.0843200011587989</c:v>
                </c:pt>
                <c:pt idx="4">
                  <c:v>-0.07378000101394902</c:v>
                </c:pt>
                <c:pt idx="5">
                  <c:v>-0.06324000086909916</c:v>
                </c:pt>
                <c:pt idx="6">
                  <c:v>-0.0527000007242493</c:v>
                </c:pt>
                <c:pt idx="7">
                  <c:v>-0.04216000057939945</c:v>
                </c:pt>
                <c:pt idx="8">
                  <c:v>-0.03162000043454958</c:v>
                </c:pt>
                <c:pt idx="9">
                  <c:v>-0.021080000289699724</c:v>
                </c:pt>
                <c:pt idx="10">
                  <c:v>-0.010540000144849862</c:v>
                </c:pt>
                <c:pt idx="11">
                  <c:v>-0.0001054000014484986</c:v>
                </c:pt>
              </c:numCache>
            </c:numRef>
          </c:xVal>
          <c:yVal>
            <c:numRef>
              <c:f>Sheet1!$H$19:$H$30</c:f>
              <c:numCache>
                <c:ptCount val="12"/>
                <c:pt idx="0">
                  <c:v>-4.69243537267515</c:v>
                </c:pt>
                <c:pt idx="1">
                  <c:v>-4.69243537267515</c:v>
                </c:pt>
                <c:pt idx="2">
                  <c:v>-4.69243537267515</c:v>
                </c:pt>
                <c:pt idx="3">
                  <c:v>-4.69243537267515</c:v>
                </c:pt>
                <c:pt idx="4">
                  <c:v>-4.69243537267515</c:v>
                </c:pt>
                <c:pt idx="5">
                  <c:v>-4.69243537267515</c:v>
                </c:pt>
                <c:pt idx="6">
                  <c:v>-4.69243537267515</c:v>
                </c:pt>
                <c:pt idx="7">
                  <c:v>-4.69243537267515</c:v>
                </c:pt>
                <c:pt idx="8">
                  <c:v>-4.69243537267515</c:v>
                </c:pt>
                <c:pt idx="9">
                  <c:v>-4.69243537267515</c:v>
                </c:pt>
                <c:pt idx="10">
                  <c:v>-4.69243537267515</c:v>
                </c:pt>
                <c:pt idx="11">
                  <c:v>-4.69243537267515</c:v>
                </c:pt>
              </c:numCache>
            </c:numRef>
          </c:yVal>
          <c:smooth val="1"/>
        </c:ser>
        <c:axId val="13597261"/>
        <c:axId val="55266486"/>
      </c:scatterChart>
      <c:valAx>
        <c:axId val="135972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Position (µm)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266486"/>
        <c:crosses val="autoZero"/>
        <c:crossBetween val="midCat"/>
        <c:dispUnits/>
      </c:valAx>
      <c:valAx>
        <c:axId val="552664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Electron energy (eV)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972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"/>
          <c:y val="0.45075"/>
          <c:w val="0.228"/>
          <c:h val="0.20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Geneva"/>
              <a:ea typeface="Geneva"/>
              <a:cs typeface="Geneva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8</xdr:col>
      <xdr:colOff>790575</xdr:colOff>
      <xdr:row>45</xdr:row>
      <xdr:rowOff>47625</xdr:rowOff>
    </xdr:to>
    <xdr:graphicFrame>
      <xdr:nvGraphicFramePr>
        <xdr:cNvPr id="1" name="Chart 1"/>
        <xdr:cNvGraphicFramePr/>
      </xdr:nvGraphicFramePr>
      <xdr:xfrm>
        <a:off x="885825" y="1409700"/>
        <a:ext cx="88296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323850</xdr:colOff>
      <xdr:row>21</xdr:row>
      <xdr:rowOff>142875</xdr:rowOff>
    </xdr:from>
    <xdr:ext cx="323850" cy="304800"/>
    <xdr:sp>
      <xdr:nvSpPr>
        <xdr:cNvPr id="2" name="TextBox 2"/>
        <xdr:cNvSpPr txBox="1">
          <a:spLocks noChangeArrowheads="1"/>
        </xdr:cNvSpPr>
      </xdr:nvSpPr>
      <xdr:spPr>
        <a:xfrm>
          <a:off x="6543675" y="3343275"/>
          <a:ext cx="3238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c</a:t>
          </a:r>
        </a:p>
      </xdr:txBody>
    </xdr:sp>
    <xdr:clientData/>
  </xdr:oneCellAnchor>
  <xdr:oneCellAnchor>
    <xdr:from>
      <xdr:col>6</xdr:col>
      <xdr:colOff>304800</xdr:colOff>
      <xdr:row>28</xdr:row>
      <xdr:rowOff>85725</xdr:rowOff>
    </xdr:from>
    <xdr:ext cx="304800" cy="304800"/>
    <xdr:sp>
      <xdr:nvSpPr>
        <xdr:cNvPr id="3" name="TextBox 3"/>
        <xdr:cNvSpPr txBox="1">
          <a:spLocks noChangeArrowheads="1"/>
        </xdr:cNvSpPr>
      </xdr:nvSpPr>
      <xdr:spPr>
        <a:xfrm>
          <a:off x="6524625" y="4352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v</a:t>
          </a:r>
        </a:p>
      </xdr:txBody>
    </xdr:sp>
    <xdr:clientData/>
  </xdr:oneCellAnchor>
  <xdr:oneCellAnchor>
    <xdr:from>
      <xdr:col>6</xdr:col>
      <xdr:colOff>333375</xdr:colOff>
      <xdr:row>26</xdr:row>
      <xdr:rowOff>142875</xdr:rowOff>
    </xdr:from>
    <xdr:ext cx="285750" cy="304800"/>
    <xdr:sp>
      <xdr:nvSpPr>
        <xdr:cNvPr id="4" name="TextBox 4"/>
        <xdr:cNvSpPr txBox="1">
          <a:spLocks noChangeArrowheads="1"/>
        </xdr:cNvSpPr>
      </xdr:nvSpPr>
      <xdr:spPr>
        <a:xfrm>
          <a:off x="6553200" y="4105275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Geneva"/>
              <a:ea typeface="Geneva"/>
              <a:cs typeface="Geneva"/>
            </a:rPr>
            <a:t>E</a:t>
          </a:r>
          <a:r>
            <a:rPr lang="en-US" cap="none" sz="1400" b="0" i="0" u="none" baseline="-25000">
              <a:latin typeface="Geneva"/>
              <a:ea typeface="Geneva"/>
              <a:cs typeface="Geneva"/>
            </a:rPr>
            <a:t>f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43"/>
  <sheetViews>
    <sheetView tabSelected="1" workbookViewId="0" topLeftCell="A1">
      <selection activeCell="F4" sqref="F4"/>
    </sheetView>
  </sheetViews>
  <sheetFormatPr defaultColWidth="9.00390625" defaultRowHeight="12"/>
  <cols>
    <col min="1" max="1" width="11.375" style="0" customWidth="1"/>
    <col min="2" max="2" width="14.75390625" style="0" customWidth="1"/>
    <col min="3" max="3" width="16.25390625" style="0" customWidth="1"/>
    <col min="4" max="4" width="11.25390625" style="0" customWidth="1"/>
    <col min="5" max="5" width="14.25390625" style="0" customWidth="1"/>
    <col min="6" max="6" width="13.75390625" style="0" customWidth="1"/>
    <col min="7" max="7" width="16.375" style="0" customWidth="1"/>
    <col min="8" max="8" width="19.125" style="0" customWidth="1"/>
    <col min="9" max="16384" width="11.375" style="0" customWidth="1"/>
  </cols>
  <sheetData>
    <row r="2" spans="5:6" ht="12">
      <c r="E2" s="5" t="s">
        <v>12</v>
      </c>
      <c r="F2" s="5" t="s">
        <v>13</v>
      </c>
    </row>
    <row r="3" spans="4:6" ht="12">
      <c r="D3" s="4" t="s">
        <v>5</v>
      </c>
      <c r="E3" s="7">
        <v>2</v>
      </c>
      <c r="F3" s="7">
        <v>1</v>
      </c>
    </row>
    <row r="4" spans="4:6" ht="12">
      <c r="D4" s="4" t="s">
        <v>8</v>
      </c>
      <c r="E4" s="7">
        <v>3</v>
      </c>
      <c r="F4" s="7">
        <v>3.75</v>
      </c>
    </row>
    <row r="5" spans="4:6" ht="12">
      <c r="D5" s="4" t="s">
        <v>18</v>
      </c>
      <c r="E5" s="7">
        <v>100</v>
      </c>
      <c r="F5" s="7">
        <v>100</v>
      </c>
    </row>
    <row r="6" spans="4:7" ht="12">
      <c r="D6" s="4" t="s">
        <v>19</v>
      </c>
      <c r="E6" s="8">
        <v>1</v>
      </c>
      <c r="F6" s="8">
        <v>10</v>
      </c>
      <c r="G6" s="6"/>
    </row>
    <row r="7" spans="4:6" ht="12">
      <c r="D7" s="4" t="s">
        <v>17</v>
      </c>
      <c r="E7" s="7">
        <v>12</v>
      </c>
      <c r="F7" s="7">
        <v>11</v>
      </c>
    </row>
    <row r="8" spans="4:6" ht="12">
      <c r="D8" s="4" t="s">
        <v>15</v>
      </c>
      <c r="E8" s="2">
        <v>0.025</v>
      </c>
      <c r="F8" s="2"/>
    </row>
    <row r="9" spans="4:6" ht="12">
      <c r="D9" s="4" t="s">
        <v>6</v>
      </c>
      <c r="E9" s="2">
        <v>0</v>
      </c>
      <c r="F9" s="2"/>
    </row>
    <row r="10" spans="4:6" ht="12">
      <c r="D10" s="4"/>
      <c r="E10" s="2"/>
      <c r="F10" s="2"/>
    </row>
    <row r="11" spans="4:6" ht="12">
      <c r="D11" s="4" t="s">
        <v>14</v>
      </c>
      <c r="E11" s="2">
        <f>SUM(E8*(LN(E5/E6)))</f>
        <v>0.1151292546497023</v>
      </c>
      <c r="F11" s="2">
        <f>SUM(E8*(LN(F5/F6)))</f>
        <v>0.05756462732485115</v>
      </c>
    </row>
    <row r="12" ht="12">
      <c r="G12" s="5" t="s">
        <v>11</v>
      </c>
    </row>
    <row r="13" spans="4:7" ht="12">
      <c r="D13" s="4" t="s">
        <v>10</v>
      </c>
      <c r="E13" s="2">
        <f>SUM(G13*(F6/E7)/((E6/F7)+(F6/E7)))</f>
        <v>1.42216125395737</v>
      </c>
      <c r="F13" s="2">
        <f>SUM(G13*(E6/F7)/((E6/F7)+(F6/E7)))</f>
        <v>0.15514486406807673</v>
      </c>
      <c r="G13" s="2">
        <f>SUM((F4+F3-F11)-(E4+E11)-E9)</f>
        <v>1.5773061180254468</v>
      </c>
    </row>
    <row r="14" spans="4:7" ht="12">
      <c r="D14" s="4" t="s">
        <v>7</v>
      </c>
      <c r="E14" s="2">
        <f>SUM(G14*F6/(E6+F6))</f>
        <v>0.1054000014484986</v>
      </c>
      <c r="F14" s="2">
        <f>SUM(G14*E6/(E6+F6))</f>
        <v>0.010540000144849862</v>
      </c>
      <c r="G14" s="2">
        <f>SUM(0.105*(E6+F6)/SQRT(E6*F6*10*((E6/E7)+(F6/F7))))</f>
        <v>0.11594000159334848</v>
      </c>
    </row>
    <row r="17" spans="2:8" ht="12">
      <c r="B17" s="1" t="s">
        <v>0</v>
      </c>
      <c r="C17" s="1" t="s">
        <v>3</v>
      </c>
      <c r="D17" s="3" t="s">
        <v>9</v>
      </c>
      <c r="E17" s="1" t="s">
        <v>16</v>
      </c>
      <c r="F17" s="1" t="s">
        <v>1</v>
      </c>
      <c r="G17" s="1" t="s">
        <v>2</v>
      </c>
      <c r="H17" s="1" t="s">
        <v>4</v>
      </c>
    </row>
    <row r="19" spans="2:8" ht="12">
      <c r="B19">
        <f>SUM(-2*E14)</f>
        <v>-0.2108000028969972</v>
      </c>
      <c r="C19" s="2">
        <f>SUM(E3)</f>
        <v>2</v>
      </c>
      <c r="D19" s="2">
        <f>SUM(E4)</f>
        <v>3</v>
      </c>
      <c r="E19" s="2">
        <f>SUM(-G13)</f>
        <v>-1.5773061180254468</v>
      </c>
      <c r="F19" s="2">
        <f>SUM(E19-E4)</f>
        <v>-4.577306118025447</v>
      </c>
      <c r="G19" s="2">
        <f>SUM(E19-E4-E3)</f>
        <v>-6.577306118025447</v>
      </c>
      <c r="H19" s="2">
        <f>SUM(F19-E11)</f>
        <v>-4.69243537267515</v>
      </c>
    </row>
    <row r="20" spans="2:8" ht="12">
      <c r="B20">
        <f>SUM(-1*E14)</f>
        <v>-0.1054000014484986</v>
      </c>
      <c r="C20" s="2"/>
      <c r="D20" s="2"/>
      <c r="E20" s="2">
        <f>SUM(((E13)*((E14+B20)/(E14))^2)-G13)</f>
        <v>-1.5773061180254468</v>
      </c>
      <c r="F20" s="2">
        <f>SUM(E20-E4)</f>
        <v>-4.577306118025447</v>
      </c>
      <c r="G20" s="2">
        <f>SUM(E20-E4-E3)</f>
        <v>-6.577306118025447</v>
      </c>
      <c r="H20" s="2">
        <f>SUM(F19-E11)</f>
        <v>-4.69243537267515</v>
      </c>
    </row>
    <row r="21" spans="2:8" ht="12">
      <c r="B21">
        <f>SUM(-0.9*E14)</f>
        <v>-0.09486000130364874</v>
      </c>
      <c r="C21" s="2"/>
      <c r="D21" s="2"/>
      <c r="E21" s="2">
        <f>SUM(((E13)*((E14+B21)/(E14))^2)-G13)</f>
        <v>-1.563084505485873</v>
      </c>
      <c r="F21" s="2">
        <f>SUM(E21-E4)</f>
        <v>-4.5630845054858735</v>
      </c>
      <c r="G21" s="2">
        <f>SUM(E21-E4-E3)</f>
        <v>-6.5630845054858735</v>
      </c>
      <c r="H21" s="2">
        <f>SUM(F19-E11)</f>
        <v>-4.69243537267515</v>
      </c>
    </row>
    <row r="22" spans="2:8" ht="12">
      <c r="B22">
        <f>SUM(-0.8*E14)</f>
        <v>-0.0843200011587989</v>
      </c>
      <c r="C22" s="2"/>
      <c r="D22" s="2"/>
      <c r="E22" s="2">
        <f>SUM(((E13)*((E14+B22)/(E14))^2)-G13)</f>
        <v>-1.5204196678671522</v>
      </c>
      <c r="F22" s="2">
        <f>SUM(E22-E4)</f>
        <v>-4.520419667867152</v>
      </c>
      <c r="G22" s="2">
        <f>SUM(E22-E4-E3)</f>
        <v>-6.520419667867152</v>
      </c>
      <c r="H22" s="2">
        <f>SUM(F19-E11)</f>
        <v>-4.69243537267515</v>
      </c>
    </row>
    <row r="23" spans="2:8" ht="12">
      <c r="B23">
        <f>SUM(-0.7*E14)</f>
        <v>-0.07378000101394902</v>
      </c>
      <c r="C23" s="2"/>
      <c r="D23" s="2"/>
      <c r="E23" s="2">
        <f>SUM(((E13)*((E14+B23)/(E14))^2)-G13)</f>
        <v>-1.4493116051692836</v>
      </c>
      <c r="F23" s="2">
        <f>SUM(E23-E4)</f>
        <v>-4.449311605169283</v>
      </c>
      <c r="G23" s="2">
        <f>SUM(E23-E4-E3)</f>
        <v>-6.449311605169283</v>
      </c>
      <c r="H23" s="2">
        <f>SUM(F19-E11)</f>
        <v>-4.69243537267515</v>
      </c>
    </row>
    <row r="24" spans="2:8" ht="12">
      <c r="B24">
        <f>SUM(-0.6*E14)</f>
        <v>-0.06324000086909916</v>
      </c>
      <c r="C24" s="2"/>
      <c r="D24" s="2"/>
      <c r="E24" s="2">
        <f>SUM(((E13)*((E14+B24)/(E14))^2)-G13)</f>
        <v>-1.3497603173922677</v>
      </c>
      <c r="F24" s="2">
        <f>SUM(E24-E4)</f>
        <v>-4.349760317392268</v>
      </c>
      <c r="G24" s="2">
        <f>SUM(E24-E4-E3)</f>
        <v>-6.349760317392268</v>
      </c>
      <c r="H24" s="2">
        <f>SUM(F19-E11)</f>
        <v>-4.69243537267515</v>
      </c>
    </row>
    <row r="25" spans="2:8" ht="12">
      <c r="B25">
        <f>SUM(-0.5*E14)</f>
        <v>-0.0527000007242493</v>
      </c>
      <c r="C25" s="2"/>
      <c r="D25" s="2"/>
      <c r="E25" s="2">
        <f>SUM(((E13)*((E14+B25)/(E14))^2)-G13)</f>
        <v>-1.2217658045361044</v>
      </c>
      <c r="F25" s="2">
        <f>SUM(E25-E4)</f>
        <v>-4.221765804536105</v>
      </c>
      <c r="G25" s="2">
        <f>SUM(E25-E4-E3)</f>
        <v>-6.221765804536105</v>
      </c>
      <c r="H25" s="2">
        <f>SUM(F19-E11)</f>
        <v>-4.69243537267515</v>
      </c>
    </row>
    <row r="26" spans="2:8" ht="12">
      <c r="B26">
        <f>SUM(-0.4*E14)</f>
        <v>-0.04216000057939945</v>
      </c>
      <c r="C26" s="2"/>
      <c r="D26" s="2"/>
      <c r="E26" s="2">
        <f>SUM(((E13)*((E14+B26)/(E14))^2)-G13)</f>
        <v>-1.0653280666007936</v>
      </c>
      <c r="F26" s="2">
        <f>SUM(E26-E4)</f>
        <v>-4.065328066600793</v>
      </c>
      <c r="G26" s="2">
        <f>SUM(E26-E4-E3)</f>
        <v>-6.065328066600793</v>
      </c>
      <c r="H26" s="2">
        <f>SUM(F19-E11)</f>
        <v>-4.69243537267515</v>
      </c>
    </row>
    <row r="27" spans="2:8" ht="12">
      <c r="B27">
        <f>SUM(-0.3*E14)</f>
        <v>-0.03162000043454958</v>
      </c>
      <c r="C27" s="2"/>
      <c r="D27" s="2"/>
      <c r="E27" s="2">
        <f>SUM(((E13)*((E14+B27)/(E14))^2)-G13)</f>
        <v>-0.8804471035863356</v>
      </c>
      <c r="F27" s="2">
        <f>SUM(E27-E4)</f>
        <v>-3.8804471035863357</v>
      </c>
      <c r="G27" s="2">
        <f>SUM(E27-E4-E3)</f>
        <v>-5.880447103586336</v>
      </c>
      <c r="H27" s="2">
        <f>SUM(F19-E11)</f>
        <v>-4.69243537267515</v>
      </c>
    </row>
    <row r="28" spans="2:8" ht="12">
      <c r="B28">
        <f>SUM(-0.2*E14)</f>
        <v>-0.021080000289699724</v>
      </c>
      <c r="C28" s="2"/>
      <c r="D28" s="2"/>
      <c r="E28" s="2">
        <f>SUM(((E13)*((E14+B28)/(E14))^2)-G13)</f>
        <v>-0.6671229154927302</v>
      </c>
      <c r="F28" s="2">
        <f>SUM(E28-E4)</f>
        <v>-3.66712291549273</v>
      </c>
      <c r="G28" s="2">
        <f>SUM(E28-E4-E3)</f>
        <v>-5.66712291549273</v>
      </c>
      <c r="H28" s="2">
        <f>SUM(F19-E11)</f>
        <v>-4.69243537267515</v>
      </c>
    </row>
    <row r="29" spans="2:8" ht="12">
      <c r="B29">
        <f>SUM(-0.1*E14)</f>
        <v>-0.010540000144849862</v>
      </c>
      <c r="C29" s="2"/>
      <c r="D29" s="2"/>
      <c r="E29" s="2">
        <f>SUM(((E13)*((E14+B29)/(E14))^2)-G13)</f>
        <v>-0.4253555023199771</v>
      </c>
      <c r="F29" s="2">
        <f>SUM(E29-E4)</f>
        <v>-3.4253555023199773</v>
      </c>
      <c r="G29" s="2">
        <f>SUM(E29-E4-E3)</f>
        <v>-5.425355502319977</v>
      </c>
      <c r="H29" s="2">
        <f>SUM(F19-E11)</f>
        <v>-4.69243537267515</v>
      </c>
    </row>
    <row r="30" spans="2:8" ht="12">
      <c r="B30">
        <f>SUM(-0.001*E14)</f>
        <v>-0.0001054000014484986</v>
      </c>
      <c r="C30" s="2"/>
      <c r="D30" s="2"/>
      <c r="E30" s="2">
        <f>SUM(((E13)*((E14+B30)/(E14))^2)-G13)</f>
        <v>-0.1579877644147376</v>
      </c>
      <c r="F30" s="2">
        <f>SUM(E30-E4)</f>
        <v>-3.1579877644147376</v>
      </c>
      <c r="G30" s="2">
        <f>SUM(E30-E4-E3)</f>
        <v>-5.157987764414738</v>
      </c>
      <c r="H30" s="2">
        <f>SUM(F19-E11)</f>
        <v>-4.69243537267515</v>
      </c>
    </row>
    <row r="31" spans="2:7" ht="12">
      <c r="B31">
        <v>0</v>
      </c>
      <c r="C31" s="2"/>
      <c r="D31" s="2"/>
      <c r="E31" s="2">
        <f>SUM((0-F13)*((B31-F14)/F14)^2)</f>
        <v>-0.15514486406807673</v>
      </c>
      <c r="F31" s="2"/>
      <c r="G31" s="2"/>
    </row>
    <row r="32" spans="2:8" ht="12">
      <c r="B32">
        <f>SUM(0.001*F14)</f>
        <v>1.0540000144849862E-05</v>
      </c>
      <c r="C32" s="2"/>
      <c r="D32" s="2"/>
      <c r="E32" s="2">
        <f>SUM((0-F13)*((B32-F14)/F14)^2)</f>
        <v>-0.15483472948480467</v>
      </c>
      <c r="F32" s="2">
        <f>SUM(E32-F4)</f>
        <v>-3.9048347294848047</v>
      </c>
      <c r="G32" s="2">
        <f>SUM(E32-F4-F3)</f>
        <v>-4.904834729484804</v>
      </c>
      <c r="H32" s="2">
        <f>SUM(G43+F11)</f>
        <v>-4.692435372675149</v>
      </c>
    </row>
    <row r="33" spans="2:8" ht="12">
      <c r="B33">
        <f>SUM(0.1*F14)</f>
        <v>0.0010540000144849862</v>
      </c>
      <c r="C33" s="2"/>
      <c r="D33" s="2"/>
      <c r="E33" s="2">
        <f>SUM((0-F13)*((B33-F14)/F14)^2)</f>
        <v>-0.12566733989514217</v>
      </c>
      <c r="F33" s="2">
        <f>SUM(E33-F4)</f>
        <v>-3.8756673398951422</v>
      </c>
      <c r="G33" s="2">
        <f>SUM(E33-F4-F3)</f>
        <v>-4.875667339895142</v>
      </c>
      <c r="H33" s="2">
        <f>SUM(G43+F11)</f>
        <v>-4.692435372675149</v>
      </c>
    </row>
    <row r="34" spans="2:8" ht="12">
      <c r="B34">
        <f>SUM(0.2*F14)</f>
        <v>0.0021080000289699723</v>
      </c>
      <c r="C34" s="2"/>
      <c r="D34" s="2"/>
      <c r="E34" s="2">
        <f>SUM((0-F13)*((B34-F14)/F14)^2)</f>
        <v>-0.0992927130035691</v>
      </c>
      <c r="F34" s="2">
        <f>SUM(E34-F4)</f>
        <v>-3.8492927130035692</v>
      </c>
      <c r="G34" s="2">
        <f>SUM(E34-F4-F3)</f>
        <v>-4.849292713003569</v>
      </c>
      <c r="H34" s="2">
        <f>SUM(G43+F11)</f>
        <v>-4.692435372675149</v>
      </c>
    </row>
    <row r="35" spans="2:8" ht="12">
      <c r="B35">
        <f>SUM(0.3*F14)</f>
        <v>0.0031620000434549587</v>
      </c>
      <c r="C35" s="2"/>
      <c r="D35" s="2"/>
      <c r="E35" s="2">
        <f>SUM((0-F13)*((B35-F14)/F14)^2)</f>
        <v>-0.07602098339335761</v>
      </c>
      <c r="F35" s="2">
        <f>SUM(E35-F4)</f>
        <v>-3.8260209833933576</v>
      </c>
      <c r="G35" s="2">
        <f>SUM(E35-F4-F3)</f>
        <v>-4.826020983393358</v>
      </c>
      <c r="H35" s="2">
        <f>SUM(G43+F11)</f>
        <v>-4.692435372675149</v>
      </c>
    </row>
    <row r="36" spans="2:8" ht="12">
      <c r="B36">
        <f>SUM(0.4*F14)</f>
        <v>0.004216000057939945</v>
      </c>
      <c r="C36" s="2"/>
      <c r="D36" s="2"/>
      <c r="E36" s="2">
        <f>SUM((0-F13)*((B36-F14)/F14)^2)</f>
        <v>-0.055852151064507624</v>
      </c>
      <c r="F36" s="2">
        <f>SUM(E36-F4)</f>
        <v>-3.805852151064508</v>
      </c>
      <c r="G36" s="2">
        <f>SUM(E36-F4-F3)</f>
        <v>-4.805852151064508</v>
      </c>
      <c r="H36" s="2">
        <f>SUM(G43+F11)</f>
        <v>-4.692435372675149</v>
      </c>
    </row>
    <row r="37" spans="2:8" ht="12">
      <c r="B37">
        <f>SUM(0.5*F14)</f>
        <v>0.005270000072424931</v>
      </c>
      <c r="C37" s="2"/>
      <c r="D37" s="2"/>
      <c r="E37" s="2">
        <f>SUM((0-F13)*((B37-F14)/F14)^2)</f>
        <v>-0.03878621601701918</v>
      </c>
      <c r="F37" s="2">
        <f>SUM(E37-F4)</f>
        <v>-3.7887862160170194</v>
      </c>
      <c r="G37" s="2">
        <f>SUM(E37-F4-F3)</f>
        <v>-4.788786216017019</v>
      </c>
      <c r="H37" s="2">
        <f>SUM(G43+F11)</f>
        <v>-4.692435372675149</v>
      </c>
    </row>
    <row r="38" spans="2:8" ht="12">
      <c r="B38">
        <f>SUM(0.6*F14)</f>
        <v>0.006324000086909917</v>
      </c>
      <c r="C38" s="2"/>
      <c r="D38" s="2"/>
      <c r="E38" s="2">
        <f>SUM((0-F13)*((B38-F14)/F14)^2)</f>
        <v>-0.024823178250892274</v>
      </c>
      <c r="F38" s="2">
        <f>SUM(E38-F4)</f>
        <v>-3.7748231782508923</v>
      </c>
      <c r="G38" s="2">
        <f>SUM(E38-F4-F3)</f>
        <v>-4.774823178250893</v>
      </c>
      <c r="H38" s="2">
        <f>SUM(G43+F11)</f>
        <v>-4.692435372675149</v>
      </c>
    </row>
    <row r="39" spans="2:8" ht="12">
      <c r="B39">
        <f>SUM(0.7*F14)</f>
        <v>0.007378000101394903</v>
      </c>
      <c r="C39" s="2"/>
      <c r="D39" s="2"/>
      <c r="E39" s="2">
        <f>SUM((0-F13)*((B39-F14)/F14)^2)</f>
        <v>-0.01396303776612691</v>
      </c>
      <c r="F39" s="2">
        <f>SUM(E39-F4)</f>
        <v>-3.763963037766127</v>
      </c>
      <c r="G39" s="2">
        <f>SUM(E39-F4-F3)</f>
        <v>-4.763963037766127</v>
      </c>
      <c r="H39" s="2">
        <f>SUM(G43+F11)</f>
        <v>-4.692435372675149</v>
      </c>
    </row>
    <row r="40" spans="2:8" ht="12">
      <c r="B40">
        <f>SUM(0.8*F14)</f>
        <v>0.00843200011587989</v>
      </c>
      <c r="C40" s="2"/>
      <c r="D40" s="2"/>
      <c r="E40" s="2">
        <f>SUM((0-F13)*((B40-F14)/F14)^2)</f>
        <v>-0.006205794562723072</v>
      </c>
      <c r="F40" s="2">
        <f>SUM(E40-F4)</f>
        <v>-3.756205794562723</v>
      </c>
      <c r="G40" s="2">
        <f>SUM(E40-F4-F3)</f>
        <v>-4.756205794562723</v>
      </c>
      <c r="H40" s="2">
        <f>SUM(G43+F11)</f>
        <v>-4.692435372675149</v>
      </c>
    </row>
    <row r="41" spans="2:8" ht="12">
      <c r="B41">
        <f>SUM(0.9*F14)</f>
        <v>0.009486000130364877</v>
      </c>
      <c r="C41" s="2"/>
      <c r="D41" s="2"/>
      <c r="E41" s="2">
        <f>SUM((0-F13)*((B41-F14)/F14)^2)</f>
        <v>-0.0015514486406807656</v>
      </c>
      <c r="F41" s="2">
        <f>SUM(E41-F4)</f>
        <v>-3.7515514486406807</v>
      </c>
      <c r="G41" s="2">
        <f>SUM(E41-F4-F3)</f>
        <v>-4.751551448640681</v>
      </c>
      <c r="H41" s="2">
        <f>SUM(G43+F11)</f>
        <v>-4.692435372675149</v>
      </c>
    </row>
    <row r="42" spans="2:8" ht="12">
      <c r="B42">
        <f>SUM(1*F14)</f>
        <v>0.010540000144849862</v>
      </c>
      <c r="E42" s="9">
        <f>SUM((0-F13)*((B42-F14)/F14)^2)</f>
        <v>0</v>
      </c>
      <c r="F42" s="2">
        <f>SUM(E42-F4)</f>
        <v>-3.75</v>
      </c>
      <c r="G42" s="2">
        <f>SUM(E42-F4-F3)</f>
        <v>-4.75</v>
      </c>
      <c r="H42" s="2">
        <f>SUM(G43+F11)</f>
        <v>-4.692435372675149</v>
      </c>
    </row>
    <row r="43" spans="2:8" ht="12">
      <c r="B43">
        <f>SUM(2*F14)</f>
        <v>0.021080000289699724</v>
      </c>
      <c r="E43" s="9">
        <v>0</v>
      </c>
      <c r="F43" s="2">
        <f>SUM(E43-F4)</f>
        <v>-3.75</v>
      </c>
      <c r="G43" s="2">
        <f>SUM(E43-F4-F3)</f>
        <v>-4.75</v>
      </c>
      <c r="H43" s="2">
        <f>SUM(G43+F11)</f>
        <v>-4.692435372675149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Clifton G. Fonstad, Jr. (Clif)</dc:creator>
  <cp:keywords/>
  <dc:description/>
  <cp:lastModifiedBy>Pallavi Bhatnagar</cp:lastModifiedBy>
  <dcterms:created xsi:type="dcterms:W3CDTF">2002-05-15T21:39:43Z</dcterms:created>
  <dcterms:modified xsi:type="dcterms:W3CDTF">2004-03-17T10:57:46Z</dcterms:modified>
  <cp:category/>
  <cp:version/>
  <cp:contentType/>
  <cp:contentStatus/>
</cp:coreProperties>
</file>