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0" windowWidth="9465" windowHeight="6900" tabRatio="743" activeTab="0"/>
  </bookViews>
  <sheets>
    <sheet name="Input Drivers" sheetId="1" r:id="rId1"/>
    <sheet name="Input Data" sheetId="2" r:id="rId2"/>
    <sheet name="Process Data" sheetId="3" r:id="rId3"/>
    <sheet name="Expense Cost Calculation" sheetId="4" r:id="rId4"/>
    <sheet name="Total Cost" sheetId="5" r:id="rId5"/>
    <sheet name="Number of tools" sheetId="6" r:id="rId6"/>
    <sheet name="Personnel Requirement" sheetId="7" r:id="rId7"/>
    <sheet name="Phased Capacity" sheetId="8" r:id="rId8"/>
    <sheet name="Process Steps" sheetId="9" r:id="rId9"/>
  </sheets>
  <definedNames>
    <definedName name="a">'Input Data'!$C$60</definedName>
    <definedName name="A0T">'Input Data'!$D$78</definedName>
    <definedName name="A0W">'Input Data'!$E$78</definedName>
    <definedName name="A1D">'Input Data'!$E$78</definedName>
    <definedName name="A1T">'Input Data'!$D$79</definedName>
    <definedName name="A1W">'Input Data'!$E$79</definedName>
    <definedName name="A2D">'Input Data'!$E$79</definedName>
    <definedName name="A2T">'Input Data'!$D$80</definedName>
    <definedName name="A2W">'Input Data'!$E$80</definedName>
    <definedName name="A3D">'Input Data'!$E$80</definedName>
    <definedName name="A3T">'Input Data'!$D$81</definedName>
    <definedName name="A3W">'Input Data'!$E$81</definedName>
    <definedName name="A4T">'Input Data'!$D$82</definedName>
    <definedName name="A4W">'Input Data'!$E$82</definedName>
    <definedName name="A5T">'Input Data'!$D$83</definedName>
    <definedName name="A5W">'Input Data'!$E$83</definedName>
    <definedName name="A6T">'Input Data'!$D$84</definedName>
    <definedName name="A6W">'Input Data'!$E$84</definedName>
    <definedName name="A7T">'Input Data'!$D$85</definedName>
    <definedName name="A7W">'Input Data'!$E$85</definedName>
    <definedName name="A8T">'Input Data'!#REF!</definedName>
    <definedName name="A8W">'Input Data'!#REF!</definedName>
    <definedName name="anscount" hidden="1">1</definedName>
    <definedName name="AW0">'Input Data'!$E$78</definedName>
    <definedName name="b">'Input Data'!$C$59</definedName>
    <definedName name="CRITERIA" localSheetId="3">'Expense Cost Calculation'!#REF!</definedName>
    <definedName name="CT">'Input Data'!$C$56</definedName>
    <definedName name="CT_ACTUAL">'Process Data'!$AP$50</definedName>
    <definedName name="CT_CALC">'Process Data'!$AO$50</definedName>
    <definedName name="CT_FACTOR">'Process Data'!$AQ$50</definedName>
    <definedName name="CT_HANDLE">'Process Data'!$R$303</definedName>
    <definedName name="CT_TOTAL">'Input Data'!$C$54</definedName>
    <definedName name="DCPD" localSheetId="7">'Phased Capacity'!$B$36</definedName>
    <definedName name="DCPD">'Total Cost'!$C$36</definedName>
    <definedName name="DOUT">'Input Data'!$C$58</definedName>
    <definedName name="F_D">'Input Data'!#REF!</definedName>
    <definedName name="FCT">'Input Data'!$C$76</definedName>
    <definedName name="FD">'Input Data'!#REF!</definedName>
    <definedName name="FROL" localSheetId="7">'Phased Capacity'!$C$61</definedName>
    <definedName name="FROL">'Total Cost'!$C$61</definedName>
    <definedName name="FRT">'Input Data'!#REF!</definedName>
    <definedName name="FVT">'Input Data'!#REF!</definedName>
    <definedName name="FW">'Input Data'!#REF!</definedName>
    <definedName name="FYF">'Input Data'!#REF!</definedName>
    <definedName name="I_D">'Input Data'!#REF!</definedName>
    <definedName name="ICT">'Input Data'!$D$76</definedName>
    <definedName name="ID">'Input Data'!#REF!</definedName>
    <definedName name="IRT">'Input Data'!#REF!</definedName>
    <definedName name="IVCT">'Input Data'!#REF!</definedName>
    <definedName name="IVT">'Input Data'!#REF!</definedName>
    <definedName name="IW">'Input Data'!#REF!</definedName>
    <definedName name="IWS">'Input Data'!#REF!</definedName>
    <definedName name="IYF">'Input Data'!#REF!</definedName>
    <definedName name="LIFE">'Input Data'!$C$48</definedName>
    <definedName name="limcount" hidden="1">1</definedName>
    <definedName name="LY">'Input Data'!$C$45</definedName>
    <definedName name="PC_DCPD">'Phased Capacity'!$J$23</definedName>
    <definedName name="PC_FT">'Phased Capacity'!$C$27</definedName>
    <definedName name="PC_FW">'Phased Capacity'!#REF!</definedName>
    <definedName name="PC_TD">'Phased Capacity'!$E$27</definedName>
    <definedName name="PC_TR">'Phased Capacity'!$F$27</definedName>
    <definedName name="PC_TT">'Phased Capacity'!$A$11</definedName>
    <definedName name="PC_TW">'Phased Capacity'!#REF!</definedName>
    <definedName name="_xlnm.Print_Area" localSheetId="5">'Number of tools'!$A$1:$G$51</definedName>
    <definedName name="_xlnm.Print_Area" localSheetId="6">'Personnel Requirement'!$A$1:$I$28</definedName>
    <definedName name="_xlnm.Print_Area" localSheetId="7">'Phased Capacity'!$A$1:$J$41</definedName>
    <definedName name="_xlnm.Print_Area" localSheetId="8">'Process Steps'!$A$2:$P$68</definedName>
    <definedName name="_xlnm.Print_Area" localSheetId="4">'Total Cost'!$A$1:$J$41</definedName>
    <definedName name="R0">'Input Data'!$C$51</definedName>
    <definedName name="ROL" localSheetId="7">'Phased Capacity'!$C$50</definedName>
    <definedName name="ROL">'Total Cost'!$C$50</definedName>
    <definedName name="RT">'Input Data'!$C$49</definedName>
    <definedName name="SCALE_FACTOR">'Process Data'!$AA$307</definedName>
    <definedName name="sencount" hidden="1">1</definedName>
    <definedName name="solver_adj" localSheetId="3" hidden="1">'Input Data'!$C$57</definedName>
    <definedName name="solver_cvg" localSheetId="3" hidden="1">0.001</definedName>
    <definedName name="solver_drv" localSheetId="3" hidden="1">1</definedName>
    <definedName name="solver_est" localSheetId="3" hidden="1">1</definedName>
    <definedName name="solver_itr" localSheetId="3" hidden="1">100</definedName>
    <definedName name="solver_lhs1" localSheetId="3" hidden="1">'Input Data'!$C$57</definedName>
    <definedName name="solver_lhs2" localSheetId="3" hidden="1">'Input Data'!$C$57</definedName>
    <definedName name="solver_lin" localSheetId="3" hidden="1">2</definedName>
    <definedName name="solver_neg" localSheetId="3" hidden="1">2</definedName>
    <definedName name="solver_num" localSheetId="3" hidden="1">2</definedName>
    <definedName name="solver_nwt" localSheetId="3" hidden="1">1</definedName>
    <definedName name="solver_opt" localSheetId="3" hidden="1">'Total Cost'!$G$3</definedName>
    <definedName name="solver_pre" localSheetId="3" hidden="1">0.000001</definedName>
    <definedName name="solver_rel1" localSheetId="3" hidden="1">1</definedName>
    <definedName name="solver_rel2" localSheetId="3" hidden="1">3</definedName>
    <definedName name="solver_rhs1" localSheetId="3" hidden="1">50000</definedName>
    <definedName name="solver_rhs2" localSheetId="3" hidden="1">10000</definedName>
    <definedName name="solver_scl" localSheetId="3" hidden="1">2</definedName>
    <definedName name="solver_sho" localSheetId="3" hidden="1">2</definedName>
    <definedName name="solver_tim" localSheetId="3" hidden="1">100</definedName>
    <definedName name="solver_tol" localSheetId="3" hidden="1">0.05</definedName>
    <definedName name="solver_typ" localSheetId="3" hidden="1">1</definedName>
    <definedName name="solver_val" localSheetId="3" hidden="1">0</definedName>
    <definedName name="T1D">'Input Data'!$D$79</definedName>
    <definedName name="T2D">'Input Data'!$D$80</definedName>
    <definedName name="T3D">'Input Data'!$D$81</definedName>
    <definedName name="TD" localSheetId="7">'Phased Capacity'!#REF!</definedName>
    <definedName name="TD">'Total Cost'!$C$20</definedName>
    <definedName name="TDC" localSheetId="7">'Phased Capacity'!$B$34</definedName>
    <definedName name="TDC">'Total Cost'!$C$34</definedName>
    <definedName name="TF">#REF!</definedName>
    <definedName name="Va">'Input Data'!$J$55</definedName>
    <definedName name="Vs">'Input Data'!$J$56</definedName>
    <definedName name="VT">'Input Data'!$C$53</definedName>
    <definedName name="W0F">#REF!</definedName>
    <definedName name="W0T">'Input Data'!$D$78</definedName>
    <definedName name="W0W">'Input Data'!$E$78</definedName>
    <definedName name="W1T">'Input Data'!#REF!</definedName>
    <definedName name="W1W">'Input Data'!$E$78</definedName>
    <definedName name="W2T">'Input Data'!$D$80</definedName>
    <definedName name="W2W">'Input Data'!$E$80</definedName>
    <definedName name="W3T">'Input Data'!$D$81</definedName>
    <definedName name="W3W">'Input Data'!$E$81</definedName>
    <definedName name="WIT">'Input Data'!$D$79</definedName>
    <definedName name="WIW">'Input Data'!$E$79</definedName>
    <definedName name="WS">'Input Data'!$C$57</definedName>
    <definedName name="WS0">'Input Data'!$E$78</definedName>
    <definedName name="Y0">'Input Data'!$C$47</definedName>
    <definedName name="YF">'Input Data'!$C$46</definedName>
    <definedName name="Z_AAC673A9_F1C9_11D2_BD61_00105A095F7C_.wvu.Cols" localSheetId="3" hidden="1">'Expense Cost Calculation'!$B:$E,'Expense Cost Calculation'!$M:$AQ</definedName>
    <definedName name="Z_AAC673A9_F1C9_11D2_BD61_00105A095F7C_.wvu.FilterData" localSheetId="3" hidden="1">'Expense Cost Calculation'!$E$5:$E$288</definedName>
  </definedNames>
  <calcPr fullCalcOnLoad="1"/>
</workbook>
</file>

<file path=xl/comments1.xml><?xml version="1.0" encoding="utf-8"?>
<comments xmlns="http://schemas.openxmlformats.org/spreadsheetml/2006/main">
  <authors>
    <author>sesarma</author>
  </authors>
  <commentList>
    <comment ref="D16" authorId="0">
      <text>
        <r>
          <rPr>
            <b/>
            <sz val="8"/>
            <rFont val="Tahoma"/>
            <family val="0"/>
          </rPr>
          <t>EETimes</t>
        </r>
      </text>
    </comment>
    <comment ref="K9" authorId="0">
      <text>
        <r>
          <rPr>
            <b/>
            <sz val="8"/>
            <rFont val="Tahoma"/>
            <family val="0"/>
          </rPr>
          <t>sesarma:</t>
        </r>
        <r>
          <rPr>
            <sz val="8"/>
            <rFont val="Tahoma"/>
            <family val="0"/>
          </rPr>
          <t xml:space="preserve">
Alien 25 maks 3 metal, 2 poly</t>
        </r>
      </text>
    </comment>
    <comment ref="K8" authorId="0">
      <text>
        <r>
          <rPr>
            <b/>
            <sz val="8"/>
            <rFont val="Tahoma"/>
            <family val="0"/>
          </rPr>
          <t>sesarma:</t>
        </r>
        <r>
          <rPr>
            <sz val="8"/>
            <rFont val="Tahoma"/>
            <family val="0"/>
          </rPr>
          <t xml:space="preserve">
Fairchild FM24C16 EEPROM 16K EEPROM uses 14 mask, 1 metal, 2 poly</t>
        </r>
      </text>
    </comment>
  </commentList>
</comments>
</file>

<file path=xl/sharedStrings.xml><?xml version="1.0" encoding="utf-8"?>
<sst xmlns="http://schemas.openxmlformats.org/spreadsheetml/2006/main" count="2049" uniqueCount="438">
  <si>
    <t xml:space="preserve">             tool and mask names appearing in the "Input Data" spreadsheet. (For convenience, these are listed at lower left.)</t>
  </si>
  <si>
    <r>
      <t xml:space="preserve">Notes: </t>
    </r>
    <r>
      <rPr>
        <sz val="10"/>
        <rFont val="Times New Roman"/>
        <family val="1"/>
      </rPr>
      <t xml:space="preserve"> Make sure that step numbers are distinct consecutive integer numbers. In column J, only use the exact </t>
    </r>
  </si>
  <si>
    <t xml:space="preserve">             The reciprocal of theoretical process time for each step is entered in column L (Wafers/hour).</t>
  </si>
  <si>
    <t>CMP_BPSG</t>
  </si>
  <si>
    <t>CMP_Oxide</t>
  </si>
  <si>
    <t>CMP_AA</t>
  </si>
  <si>
    <t>CMP_W</t>
  </si>
  <si>
    <t>CVD_Nitr/TEOS</t>
  </si>
  <si>
    <t>CVD_BPSG</t>
  </si>
  <si>
    <t>APCVD_Ox</t>
  </si>
  <si>
    <t>CVD_ILD</t>
  </si>
  <si>
    <t>CVD_TEOS/Nitride</t>
  </si>
  <si>
    <t>Oxide_STI</t>
  </si>
  <si>
    <t>CVD_Oxide</t>
  </si>
  <si>
    <t>CVD_Ti/TiN</t>
  </si>
  <si>
    <t>CVD_W</t>
  </si>
  <si>
    <t>Etch_AA</t>
  </si>
  <si>
    <t>Etch_Contact</t>
  </si>
  <si>
    <t>Etch_Mask</t>
  </si>
  <si>
    <t>Etch_Via</t>
  </si>
  <si>
    <t>Etch_PAD</t>
  </si>
  <si>
    <t>Etch_Gate</t>
  </si>
  <si>
    <t>Etch_Spacer</t>
  </si>
  <si>
    <t>Dry_Strip</t>
  </si>
  <si>
    <t>Etch_Metal</t>
  </si>
  <si>
    <t>Plasma_Strip</t>
  </si>
  <si>
    <t>Oxidation_Sac</t>
  </si>
  <si>
    <t>Oxidation</t>
  </si>
  <si>
    <t>Densification</t>
  </si>
  <si>
    <t>Oxidation_Gate</t>
  </si>
  <si>
    <t>LPCVD_Nitride</t>
  </si>
  <si>
    <t>Anneal_Metal</t>
  </si>
  <si>
    <t>Anneal</t>
  </si>
  <si>
    <t>LPCVD_Poly</t>
  </si>
  <si>
    <t>LPCVD_TEOS</t>
  </si>
  <si>
    <t>Implant</t>
  </si>
  <si>
    <t>Inspect_PLY</t>
  </si>
  <si>
    <t>Inspect_Visual</t>
  </si>
  <si>
    <t>Expose_Gate</t>
  </si>
  <si>
    <t>Expose_Contact</t>
  </si>
  <si>
    <t>Expose_AA</t>
  </si>
  <si>
    <t>Expose_Line</t>
  </si>
  <si>
    <t>Expose_Via</t>
  </si>
  <si>
    <t>Expose_Implant</t>
  </si>
  <si>
    <t>Expose_Pad</t>
  </si>
  <si>
    <t>Meas_CD</t>
  </si>
  <si>
    <t>Meas_Film</t>
  </si>
  <si>
    <t>Meas_Overlay</t>
  </si>
  <si>
    <t>PVD_Ti/Co</t>
  </si>
  <si>
    <t>PVD_Al/Cu</t>
  </si>
  <si>
    <t>RTP_Silicide</t>
  </si>
  <si>
    <t>RTP_Anneal</t>
  </si>
  <si>
    <t>Test</t>
  </si>
  <si>
    <t>Clean_O3</t>
  </si>
  <si>
    <t>Wet_Strip Ti/Co</t>
  </si>
  <si>
    <t>Clean_Post_Strip</t>
  </si>
  <si>
    <t>Clean_Metal</t>
  </si>
  <si>
    <t>Clean_Pre_OxAn</t>
  </si>
  <si>
    <t>Wet_Strip</t>
  </si>
  <si>
    <t>#tools</t>
  </si>
  <si>
    <t>Process description</t>
  </si>
  <si>
    <t>Tool Type</t>
  </si>
  <si>
    <t>Round Up</t>
  </si>
  <si>
    <t>install</t>
  </si>
  <si>
    <t>$mm</t>
  </si>
  <si>
    <t>tool deprec(frac)</t>
  </si>
  <si>
    <t>maint(frac)</t>
  </si>
  <si>
    <t>tool deprec(integ)</t>
  </si>
  <si>
    <t>mainte(integ)</t>
  </si>
  <si>
    <t>Level of Automation</t>
  </si>
  <si>
    <t>(0,0)</t>
  </si>
  <si>
    <t>(1,1)</t>
  </si>
  <si>
    <t>(1.5,1.5)</t>
  </si>
  <si>
    <t>(2,2)</t>
  </si>
  <si>
    <t>Personnel type</t>
  </si>
  <si>
    <t>Engineer</t>
  </si>
  <si>
    <t>Fixed</t>
  </si>
  <si>
    <t>Per Wafer Start/Month</t>
  </si>
  <si>
    <t>Per Tool Type:</t>
  </si>
  <si>
    <t>Total</t>
  </si>
  <si>
    <t>Per wafer start/month</t>
  </si>
  <si>
    <t>Personnel</t>
  </si>
  <si>
    <t>level 0</t>
  </si>
  <si>
    <t>level 1</t>
  </si>
  <si>
    <t>level1,5</t>
  </si>
  <si>
    <t>level2</t>
  </si>
  <si>
    <t>Operator</t>
  </si>
  <si>
    <t>Supervisor</t>
  </si>
  <si>
    <t>Manger</t>
  </si>
  <si>
    <t>Techn</t>
  </si>
  <si>
    <t>Personnel Cost per wafer</t>
  </si>
  <si>
    <t>$/wafer</t>
  </si>
  <si>
    <t>Mask</t>
  </si>
  <si>
    <t>Non-manufacturing</t>
  </si>
  <si>
    <t>Cleanroom</t>
  </si>
  <si>
    <t>Direct</t>
  </si>
  <si>
    <t>Indirect</t>
  </si>
  <si>
    <t>Tool Depreciation</t>
  </si>
  <si>
    <t>Tool Maintenance</t>
  </si>
  <si>
    <t>Tool Leasing</t>
  </si>
  <si>
    <t>Direct Personnel</t>
  </si>
  <si>
    <t>Indirect Personnel</t>
  </si>
  <si>
    <t>Direct Space</t>
  </si>
  <si>
    <t>Indirect Space</t>
  </si>
  <si>
    <t>Direct Material</t>
  </si>
  <si>
    <t>Indirect Material</t>
  </si>
  <si>
    <t>Cost Centers</t>
  </si>
  <si>
    <t>Facilities</t>
  </si>
  <si>
    <t>CIM System</t>
  </si>
  <si>
    <t>Control Units</t>
  </si>
  <si>
    <t>Total Cost</t>
  </si>
  <si>
    <t>Cost per Wafer</t>
  </si>
  <si>
    <t>Cost Components</t>
  </si>
  <si>
    <t>Levels of Automation(using fractional tools)</t>
  </si>
  <si>
    <t>Levels of Automation(using Integer tools)</t>
  </si>
  <si>
    <t>Cost per unit of equipment</t>
  </si>
  <si>
    <t>fractional</t>
  </si>
  <si>
    <t>Cost per type of tool</t>
  </si>
  <si>
    <t>Fractional</t>
  </si>
  <si>
    <t>Integer</t>
  </si>
  <si>
    <t>Number of Personnel (fractional tools)</t>
  </si>
  <si>
    <t>Total Number of Engineer/Technicians</t>
  </si>
  <si>
    <t>Number of Personnel (integer tools)</t>
  </si>
  <si>
    <t>Total Number</t>
  </si>
  <si>
    <t>Level (0,0)</t>
  </si>
  <si>
    <t>Level (1,1)</t>
  </si>
  <si>
    <t>Level (1.5,1.5)</t>
  </si>
  <si>
    <t>Level (2,2)</t>
  </si>
  <si>
    <t>Personnel Type</t>
  </si>
  <si>
    <t>Number of Personnel by type (fractional tools)</t>
  </si>
  <si>
    <t>Number of Personnel by type (Integer tools)</t>
  </si>
  <si>
    <t>Rounding up the Number of personnel (fractional tools)</t>
  </si>
  <si>
    <t>Rounding up the Number of personnel (integer tools)</t>
  </si>
  <si>
    <t>Annual Cost per Personnel Type</t>
  </si>
  <si>
    <t>Salary</t>
  </si>
  <si>
    <t>Total Direct</t>
  </si>
  <si>
    <t>Total Indirect</t>
  </si>
  <si>
    <t>Total Personnel</t>
  </si>
  <si>
    <t>Fractional Tools</t>
  </si>
  <si>
    <t>Integer Tools</t>
  </si>
  <si>
    <t>Equipment Cost per Wafer</t>
  </si>
  <si>
    <t>tool depreciation</t>
  </si>
  <si>
    <t>tool maintenance</t>
  </si>
  <si>
    <t xml:space="preserve">Fixed </t>
  </si>
  <si>
    <t>Per wafer</t>
  </si>
  <si>
    <t>Per Tool</t>
  </si>
  <si>
    <t>Non-manufacturing (sq. ft.)</t>
  </si>
  <si>
    <t>Cleanroom(sq.ft.)</t>
  </si>
  <si>
    <t>non-cleanroom(sq.ft.)</t>
  </si>
  <si>
    <t>Space Costs</t>
  </si>
  <si>
    <t>Non-cleanroom</t>
  </si>
  <si>
    <t>Space in sq.ft.</t>
  </si>
  <si>
    <t>Coeff for annual space cost</t>
  </si>
  <si>
    <t>Annual Space Cost (fractional Tools)</t>
  </si>
  <si>
    <t>Total Annual Space Cost (fractional tools)</t>
  </si>
  <si>
    <t>Total Annual Space Cost (integer tools)</t>
  </si>
  <si>
    <t>Space Cost per Wafer</t>
  </si>
  <si>
    <t>Total Space Cost</t>
  </si>
  <si>
    <t>Integer tools</t>
  </si>
  <si>
    <t>Total material a month</t>
  </si>
  <si>
    <t>Material Cost per Wafer</t>
  </si>
  <si>
    <t xml:space="preserve">Indirect </t>
  </si>
  <si>
    <t>Wafer</t>
  </si>
  <si>
    <t>Life Exp(wafers)</t>
  </si>
  <si>
    <t>total</t>
  </si>
  <si>
    <t>Description</t>
  </si>
  <si>
    <t>Input Variable</t>
  </si>
  <si>
    <t>Value</t>
  </si>
  <si>
    <t>TD=</t>
  </si>
  <si>
    <t>YF</t>
  </si>
  <si>
    <t>Y0</t>
  </si>
  <si>
    <t>TDC=</t>
  </si>
  <si>
    <t>H</t>
  </si>
  <si>
    <t>RT</t>
  </si>
  <si>
    <t>b</t>
  </si>
  <si>
    <t>R0</t>
  </si>
  <si>
    <t xml:space="preserve">a </t>
  </si>
  <si>
    <t>VT</t>
  </si>
  <si>
    <t>CT</t>
  </si>
  <si>
    <t xml:space="preserve">D </t>
  </si>
  <si>
    <t>EPY=</t>
  </si>
  <si>
    <t>EPD=</t>
  </si>
  <si>
    <t>TCPD=</t>
  </si>
  <si>
    <t>Expense Cost per Die</t>
  </si>
  <si>
    <t>Delay Cost per Die</t>
  </si>
  <si>
    <t>TOTAL COST PER DIE</t>
  </si>
  <si>
    <t>Automation Level</t>
  </si>
  <si>
    <t>Total die produced over the factory life</t>
  </si>
  <si>
    <t>Mature Yield</t>
  </si>
  <si>
    <t>Initial Yield</t>
  </si>
  <si>
    <t>Factory Life (days)</t>
  </si>
  <si>
    <t>designed die output capacity (per monthly period) at mature die yield, expressed in units of equivalent 100%-yielding wafers.</t>
  </si>
  <si>
    <t>learning curve factor</t>
  </si>
  <si>
    <t>Expense Cost per wafer(worksheet "ExpenseCost")</t>
  </si>
  <si>
    <t>discount factor per day</t>
  </si>
  <si>
    <t>Yield learning rate *</t>
  </si>
  <si>
    <t>discount factor per year**</t>
  </si>
  <si>
    <t>Wafer starts per month (W)</t>
  </si>
  <si>
    <t>Line Yield (LY)</t>
  </si>
  <si>
    <t>Mask Type</t>
  </si>
  <si>
    <t>Annual Salary</t>
  </si>
  <si>
    <t>Manager</t>
  </si>
  <si>
    <t>Technicians</t>
  </si>
  <si>
    <t>OEE</t>
  </si>
  <si>
    <t>Construction ($)</t>
  </si>
  <si>
    <t>space/person (sq.ft.)</t>
  </si>
  <si>
    <t>Number of process steps (J)</t>
  </si>
  <si>
    <t xml:space="preserve">Input data </t>
  </si>
  <si>
    <t>DCPD=</t>
  </si>
  <si>
    <t>fractional tools</t>
  </si>
  <si>
    <t xml:space="preserve">1-OEE  </t>
  </si>
  <si>
    <t>tool life</t>
  </si>
  <si>
    <t>Tool Set</t>
  </si>
  <si>
    <t>Equipment Cost per wafer</t>
  </si>
  <si>
    <t>Personnel Coefficients</t>
  </si>
  <si>
    <t>Expense-Related Costs</t>
  </si>
  <si>
    <t>Personnel Requirement</t>
  </si>
  <si>
    <t>Tool Requirement</t>
  </si>
  <si>
    <t>level (0,0)</t>
  </si>
  <si>
    <t>level (1,1)</t>
  </si>
  <si>
    <t>level (1.5,1.5)</t>
  </si>
  <si>
    <t>level (2,2)</t>
  </si>
  <si>
    <t>Ramp time (days)</t>
  </si>
  <si>
    <t>Blank wafer cost ($)</t>
  </si>
  <si>
    <t>Fab Expense Inputs</t>
  </si>
  <si>
    <t>Delay Cost Inputs</t>
  </si>
  <si>
    <t>$mm/yr</t>
  </si>
  <si>
    <t xml:space="preserve">purchase </t>
  </si>
  <si>
    <t>partial cost total</t>
  </si>
  <si>
    <t>Macros:</t>
  </si>
  <si>
    <t xml:space="preserve">NOTE: 30 working days per month and 360 working days </t>
  </si>
  <si>
    <t xml:space="preserve">               per year are fixed in this spreadsheet.</t>
  </si>
  <si>
    <t>Overhead staff</t>
  </si>
  <si>
    <t>Overhead Staff</t>
  </si>
  <si>
    <t>From "Input data" spreadsheet</t>
  </si>
  <si>
    <t xml:space="preserve">Tool Name  </t>
  </si>
  <si>
    <t>Mask Name</t>
  </si>
  <si>
    <t>Mask cost/mo</t>
  </si>
  <si>
    <t>Direct material/mo</t>
  </si>
  <si>
    <t>Indirect material/mo</t>
  </si>
  <si>
    <t>Mask cost/pass</t>
  </si>
  <si>
    <t>Direct material ($/pass)</t>
  </si>
  <si>
    <t>Indirect Material ($/pass)</t>
  </si>
  <si>
    <t>step number</t>
  </si>
  <si>
    <t>Mask type</t>
  </si>
  <si>
    <t>Tool_type</t>
  </si>
  <si>
    <t>Process ID :250_Al_82</t>
  </si>
  <si>
    <t>To sort by Tool Name: ctrl-r</t>
  </si>
  <si>
    <t>To sort by step: ctrl-f</t>
  </si>
  <si>
    <t xml:space="preserve">CMP_Ins(C) </t>
  </si>
  <si>
    <t>CMP_Ins(I)</t>
  </si>
  <si>
    <t>CMP_Ins</t>
  </si>
  <si>
    <t>CMP_Met</t>
  </si>
  <si>
    <t xml:space="preserve">CVD_Ins(C) </t>
  </si>
  <si>
    <t>CVD_Ins(I)</t>
  </si>
  <si>
    <t>CVD_Ins</t>
  </si>
  <si>
    <t>CVD_Ins_Thin</t>
  </si>
  <si>
    <t xml:space="preserve">CVD_Met(C) </t>
  </si>
  <si>
    <t>CVD_Met</t>
  </si>
  <si>
    <t xml:space="preserve">CVD_MetW(C) </t>
  </si>
  <si>
    <t>CVD_MetW</t>
  </si>
  <si>
    <t>Dry_Etch(A)</t>
  </si>
  <si>
    <t xml:space="preserve">Dry_Etch(C) </t>
  </si>
  <si>
    <t>Dry_Etch(I)</t>
  </si>
  <si>
    <t>Dry_Etch</t>
  </si>
  <si>
    <t>Dry_Etch_Met</t>
  </si>
  <si>
    <t>Dry_Strip(D)</t>
  </si>
  <si>
    <t>Dry_Strip(I)</t>
  </si>
  <si>
    <t>Furn_FastRmp</t>
  </si>
  <si>
    <t>Furn_Nitr</t>
  </si>
  <si>
    <t>Furn_OxAn(I)</t>
  </si>
  <si>
    <t>Furn_OxAn</t>
  </si>
  <si>
    <t>Furn_Poly</t>
  </si>
  <si>
    <t>Furn_TEOS</t>
  </si>
  <si>
    <t>Implant_HiE</t>
  </si>
  <si>
    <t>Implant_LoE</t>
  </si>
  <si>
    <t>Insp_PLY</t>
  </si>
  <si>
    <t>Insp_Visual</t>
  </si>
  <si>
    <t>Litho_248</t>
  </si>
  <si>
    <t>Litho_I</t>
  </si>
  <si>
    <t>Litho_Iw</t>
  </si>
  <si>
    <t xml:space="preserve">PVD_Met(C) </t>
  </si>
  <si>
    <t>PVD_Met</t>
  </si>
  <si>
    <t xml:space="preserve">RTP_OxAn(C) </t>
  </si>
  <si>
    <t>VP_HF_Clean</t>
  </si>
  <si>
    <t>Wet_Bench(I)</t>
  </si>
  <si>
    <t>Wet_Bench</t>
  </si>
  <si>
    <t>DO NOT SORT THIS TABLE</t>
  </si>
  <si>
    <t>248_Mask</t>
  </si>
  <si>
    <t>248C_Mask</t>
  </si>
  <si>
    <t>Iw_Mask</t>
  </si>
  <si>
    <t>I_Mask</t>
  </si>
  <si>
    <t>FINAL RESULT</t>
  </si>
  <si>
    <t>EPW=</t>
  </si>
  <si>
    <t>Revenue Over Life</t>
  </si>
  <si>
    <t>Revenue per Wafer</t>
  </si>
  <si>
    <t>DCPD</t>
  </si>
  <si>
    <t>Revenue</t>
  </si>
  <si>
    <t>Output</t>
  </si>
  <si>
    <t>Phase Start Date</t>
  </si>
  <si>
    <t>Sum</t>
  </si>
  <si>
    <t>Capacity</t>
  </si>
  <si>
    <t>Revenue-Related Costs</t>
  </si>
  <si>
    <t>Phase 3</t>
  </si>
  <si>
    <t>Phase 4</t>
  </si>
  <si>
    <t>Phase 5</t>
  </si>
  <si>
    <t>Phase 6</t>
  </si>
  <si>
    <t>Phase 7</t>
  </si>
  <si>
    <t>Phase InPut</t>
  </si>
  <si>
    <t>Ideal Revenue</t>
  </si>
  <si>
    <t>manufacturing cycle time</t>
  </si>
  <si>
    <t>CEE</t>
  </si>
  <si>
    <t>1-CEE</t>
  </si>
  <si>
    <t xml:space="preserve">   Phase Number   </t>
  </si>
  <si>
    <t>Click to Run</t>
  </si>
  <si>
    <t>tool</t>
  </si>
  <si>
    <t xml:space="preserve"> Phase 1</t>
  </si>
  <si>
    <t>TO DO:</t>
  </si>
  <si>
    <r>
      <t>DO NOT SORT THIS TABLE</t>
    </r>
    <r>
      <rPr>
        <sz val="10"/>
        <rFont val="Times New Roman"/>
        <family val="1"/>
      </rPr>
      <t>.</t>
    </r>
  </si>
  <si>
    <t>Total Delay Cost</t>
  </si>
  <si>
    <t>Delay Cost Per Die</t>
  </si>
  <si>
    <t>Purch cost ($/unit)</t>
  </si>
  <si>
    <t>Life (years)</t>
  </si>
  <si>
    <t>Occupancy cost ($/yr)</t>
  </si>
  <si>
    <t>process dev &amp; qual (days)***</t>
  </si>
  <si>
    <t>maintce</t>
  </si>
  <si>
    <t>Space consumed per tool</t>
  </si>
  <si>
    <t>Tool quantities</t>
  </si>
  <si>
    <t>in table at immediate right</t>
  </si>
  <si>
    <r>
      <t>Please change data only in the cells shaded this color</t>
    </r>
    <r>
      <rPr>
        <sz val="10"/>
        <rFont val="Times New Roman"/>
        <family val="1"/>
      </rPr>
      <t>.</t>
    </r>
  </si>
  <si>
    <t xml:space="preserve">             Please change input data only in the cells shaded this color.</t>
  </si>
  <si>
    <t>LY</t>
  </si>
  <si>
    <t>WS</t>
  </si>
  <si>
    <t>Quantity</t>
  </si>
  <si>
    <t>add'l tools</t>
  </si>
  <si>
    <t>Fixed eqpt counts, unlimited market:</t>
  </si>
  <si>
    <t>Phase No.</t>
  </si>
  <si>
    <t>Wafer start rate</t>
  </si>
  <si>
    <t>Start time</t>
  </si>
  <si>
    <t>Fill in Start times and Wafer start rates above</t>
  </si>
  <si>
    <t>Fill in CEEs in each phase</t>
  </si>
  <si>
    <t>Fill in CEEs and tool quantities in each pahse</t>
  </si>
  <si>
    <t>Tool Costs and Space Requirements</t>
  </si>
  <si>
    <t>DO NOT RESORT THIS TABLE. ALSO, PHASES MUST MATCH THOSE IN THE TABLE AT LEFT.</t>
  </si>
  <si>
    <t>Fixed wafer starts, variable eqpt counts:</t>
  </si>
  <si>
    <t>Calculation Type</t>
  </si>
  <si>
    <t>Fill in Start times above (Wafer start rates will be overwritten by calculation)</t>
  </si>
  <si>
    <t xml:space="preserve">                   and qualification, factory construction, equipment installation and qualification.</t>
  </si>
  <si>
    <t>Derived Variables</t>
  </si>
  <si>
    <t xml:space="preserve">                   For example, 0.67 means that 2/3 of the yield improvement is completed at time 0.5 RT.</t>
  </si>
  <si>
    <t>Wafer start rates (wafers per month)</t>
  </si>
  <si>
    <t>Tool CEE and Tool Quantities by Phase of Wafer Starts</t>
  </si>
  <si>
    <t>Cycle Time</t>
  </si>
  <si>
    <t>Expense Over Life</t>
  </si>
  <si>
    <t>Fractional tools</t>
  </si>
  <si>
    <t>Revenue per Die</t>
  </si>
  <si>
    <t>Fixed wafer starts case only</t>
  </si>
  <si>
    <t xml:space="preserve"> Phase 2</t>
  </si>
  <si>
    <t>Phase 8</t>
  </si>
  <si>
    <t>CT TOTAL</t>
  </si>
  <si>
    <t>1. If the cell "CT TOTAL" has a value, that value will be used as CT. Step cycle times in the "Process Data" sheet will be automatically scaled to match CT.</t>
  </si>
  <si>
    <r>
      <t>* NOTE:</t>
    </r>
    <r>
      <rPr>
        <sz val="10"/>
        <rFont val="Times New Roman"/>
        <family val="1"/>
      </rPr>
      <t xml:space="preserve">  The yield learning rate is the fraction of the total yield improvement completed halfway through the yield ramp. </t>
    </r>
  </si>
  <si>
    <r>
      <t>**NOTE:</t>
    </r>
    <r>
      <rPr>
        <sz val="10"/>
        <rFont val="Times New Roman"/>
        <family val="1"/>
      </rPr>
      <t xml:space="preserve"> The discount factor per year indicates how fast the revenue per wafer is decreasing.  </t>
    </r>
  </si>
  <si>
    <r>
      <t>***NOTE:</t>
    </r>
    <r>
      <rPr>
        <sz val="10"/>
        <rFont val="Times New Roman"/>
        <family val="1"/>
      </rPr>
      <t xml:space="preserve"> VT is the time when wafers that will be sold are first started, accounting for all delays for process development</t>
    </r>
  </si>
  <si>
    <t>BE SURE TO INCLUDE "RT" IN THE START TIMES.</t>
  </si>
  <si>
    <t>Fixed eqpt counts case only</t>
  </si>
  <si>
    <t xml:space="preserve">                A Phase is a time interval with either a fixed wafer start rate or a fixed equipment set.</t>
  </si>
  <si>
    <t xml:space="preserve">                Time before and after RT must be placed in different phases.</t>
  </si>
  <si>
    <t xml:space="preserve">                The last phase is automatically assumed to end at the process life time H.</t>
  </si>
  <si>
    <r>
      <t>NOTE:</t>
    </r>
    <r>
      <rPr>
        <sz val="10"/>
        <rFont val="Times New Roman"/>
        <family val="1"/>
      </rPr>
      <t xml:space="preserve"> Time 0 in this table is right after process qualification, i.e., after the duration 'VT'.</t>
    </r>
  </si>
  <si>
    <t>and qualification.</t>
  </si>
  <si>
    <t xml:space="preserve">                   For example, if R0=10,000 and the discount factor is 0.25, then the revenue per wafer one year after start of process development is 7,500.</t>
  </si>
  <si>
    <t>Actual CT (hours)</t>
  </si>
  <si>
    <t>Handling Time (mins)</t>
  </si>
  <si>
    <t>wafers/hour</t>
  </si>
  <si>
    <t>Batch Size</t>
  </si>
  <si>
    <t xml:space="preserve">             If data for Actual CT is entered, it must be entered for every step. If some are left blank, they will be assumed</t>
  </si>
  <si>
    <t xml:space="preserve">             There are two options for step cycle time data. One option is to enter actual cycle times in column O, including</t>
  </si>
  <si>
    <t xml:space="preserve">             all waiting, process and material handling times. The other option is to enter step batch size in column P and step</t>
  </si>
  <si>
    <t xml:space="preserve">             handling time in column Q, and let the system calculate step cycle times.</t>
  </si>
  <si>
    <t xml:space="preserve">             to be zero. If Actual CT is left blank for ALL steps, then CT will be calculated automatically for all steps based on</t>
  </si>
  <si>
    <t xml:space="preserve">            queuing analysis of equipment counts and CEE factors and the user input data from columns P and Q. If the total</t>
  </si>
  <si>
    <t xml:space="preserve">            of step cycle times is different from the "CT TOTAL" entry on the "Input Data" page, then step cycle times will </t>
  </si>
  <si>
    <t xml:space="preserve">            be automatically re-scaled to be consistent with "CT TOTAL". If "CT TOTAL" is left blank, no re-scaling is performed.</t>
  </si>
  <si>
    <t>Initial Revenue #</t>
  </si>
  <si>
    <t>## NOTE:  For Cycle Time Calculation, there are 3 possible sources:</t>
  </si>
  <si>
    <t>manufacturing cycle time ##</t>
  </si>
  <si>
    <t>2. If the cell "CT TOTAL" is left blank, the sum of "Actual CT" and handling time for all steps in sheet "Process Data" will be taken to be the value of CT.</t>
  </si>
  <si>
    <t xml:space="preserve">    WARNING: If some values of "Actual CT" are filled in but others are left blank, the steps with blank cells will be assumed to have 0 cycle time.</t>
  </si>
  <si>
    <r>
      <t># NOTE:</t>
    </r>
    <r>
      <rPr>
        <sz val="10"/>
        <rFont val="Times New Roman"/>
        <family val="1"/>
      </rPr>
      <t xml:space="preserve"> Initial revenue applies at start of process development </t>
    </r>
  </si>
  <si>
    <t xml:space="preserve">3. If both "CT TOTAL" and "Actual CT" are left blank, then step cycle time will be calculated from equipment CEE and numbers of tools, then summed </t>
  </si>
  <si>
    <t xml:space="preserve">    with handling time for all steps to compute CT.</t>
  </si>
  <si>
    <t>Sum (hr)</t>
  </si>
  <si>
    <t>VAR</t>
  </si>
  <si>
    <t>SVT</t>
  </si>
  <si>
    <t>#tool</t>
  </si>
  <si>
    <t>#fraction</t>
  </si>
  <si>
    <t>Ce2</t>
  </si>
  <si>
    <t>CTq</t>
  </si>
  <si>
    <t>CT Data</t>
  </si>
  <si>
    <t>CT Calculated</t>
  </si>
  <si>
    <t>#steps</t>
  </si>
  <si>
    <t>Availability</t>
  </si>
  <si>
    <t>Tsvc</t>
  </si>
  <si>
    <t>tool type</t>
  </si>
  <si>
    <t>Twafer</t>
  </si>
  <si>
    <t>utilization</t>
  </si>
  <si>
    <t>factor</t>
  </si>
  <si>
    <t>Poly</t>
  </si>
  <si>
    <t>Metal</t>
  </si>
  <si>
    <t>Input</t>
  </si>
  <si>
    <t>Mask Layers</t>
  </si>
  <si>
    <t>Metal Layers</t>
  </si>
  <si>
    <t>Poly Layers</t>
  </si>
  <si>
    <t>Number of dies per wafer</t>
  </si>
  <si>
    <t>Total cost per die</t>
  </si>
  <si>
    <t>Total cost per wafer</t>
  </si>
  <si>
    <t>Comment</t>
  </si>
  <si>
    <t>Sensitivity</t>
  </si>
  <si>
    <t>Low Value</t>
  </si>
  <si>
    <t>High Value</t>
  </si>
  <si>
    <t xml:space="preserve">cost lower 1500 - </t>
  </si>
  <si>
    <t>Poly 1</t>
  </si>
  <si>
    <t>Feature Size in mm</t>
  </si>
  <si>
    <t>Mask Steps 250_A1_82</t>
  </si>
  <si>
    <t>Base calculation number dies</t>
  </si>
  <si>
    <t xml:space="preserve">Poly  </t>
  </si>
  <si>
    <t>Mask 25</t>
  </si>
  <si>
    <t>Worldwide fab capacity</t>
  </si>
  <si>
    <t>Wafer starts</t>
  </si>
  <si>
    <t>Utilization</t>
  </si>
  <si>
    <t>14,1,2</t>
  </si>
  <si>
    <t>Assumed</t>
  </si>
  <si>
    <t>Result</t>
  </si>
  <si>
    <t>Starts 300,000</t>
  </si>
  <si>
    <t>Instructions: Fill in numbers and hit Recalculate button</t>
  </si>
  <si>
    <t>Equivalent die/tag starts</t>
  </si>
  <si>
    <t>Note: If mask layers is not consistent with metal and poly, program with fault</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</si>
</sst>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0"/>
    <numFmt numFmtId="177" formatCode="0.00000"/>
    <numFmt numFmtId="178" formatCode="0.0000000"/>
    <numFmt numFmtId="179" formatCode="0.00000000"/>
    <numFmt numFmtId="180" formatCode="0.000"/>
    <numFmt numFmtId="181" formatCode="0.0000"/>
    <numFmt numFmtId="182" formatCode="0.000000"/>
    <numFmt numFmtId="183" formatCode="0.000000000000"/>
    <numFmt numFmtId="184" formatCode="0.00000000000"/>
    <numFmt numFmtId="185" formatCode="0.0000000000"/>
    <numFmt numFmtId="186" formatCode="0.000000000"/>
    <numFmt numFmtId="187" formatCode="\ "/>
    <numFmt numFmtId="188" formatCode="&quot;Yes&quot;;&quot;Yes&quot;;&quot;No&quot;"/>
    <numFmt numFmtId="189" formatCode="&quot;True&quot;;&quot;True&quot;;&quot;False&quot;"/>
    <numFmt numFmtId="190" formatCode="&quot;On&quot;;&quot;On&quot;;&quot;Off&quot;"/>
    <numFmt numFmtId="191" formatCode="&quot;$&quot;#,##0.000"/>
    <numFmt numFmtId="192" formatCode="&quot;$&quot;#,##0.00000000"/>
    <numFmt numFmtId="193" formatCode="[$€-2]\ #,##0.00_);[Red]\([$€-2]\ #,##0.00\)"/>
  </numFmts>
  <fonts count="22">
    <font>
      <sz val="10"/>
      <name val="Arial"/>
      <family val="2"/>
    </font>
    <font>
      <sz val="10"/>
      <name val="Times New Roman"/>
      <family val="1"/>
    </font>
    <font>
      <sz val="10"/>
      <color indexed="48"/>
      <name val="Arial"/>
      <family val="2"/>
    </font>
    <font>
      <b/>
      <sz val="10"/>
      <name val="Times New Roman"/>
      <family val="1"/>
    </font>
    <font>
      <sz val="12"/>
      <name val="Times New Roman"/>
      <family val="1"/>
    </font>
    <font>
      <b/>
      <u val="single"/>
      <sz val="12"/>
      <name val="Times New Roman"/>
      <family val="1"/>
    </font>
    <font>
      <b/>
      <sz val="10"/>
      <color indexed="10"/>
      <name val="Times New Roman"/>
      <family val="1"/>
    </font>
    <font>
      <b/>
      <u val="single"/>
      <sz val="10"/>
      <name val="Times New Roman"/>
      <family val="1"/>
    </font>
    <font>
      <u val="single"/>
      <sz val="10"/>
      <color indexed="12"/>
      <name val="Arial"/>
      <family val="2"/>
    </font>
    <font>
      <u val="single"/>
      <sz val="10"/>
      <color indexed="36"/>
      <name val="Arial"/>
      <family val="2"/>
    </font>
    <font>
      <sz val="8"/>
      <name val="Tahoma"/>
      <family val="2"/>
    </font>
    <font>
      <b/>
      <sz val="10"/>
      <name val="Arial"/>
      <family val="2"/>
    </font>
    <font>
      <b/>
      <sz val="11"/>
      <name val="Arial"/>
      <family val="2"/>
    </font>
    <font>
      <sz val="10"/>
      <color indexed="10"/>
      <name val="Times New Roman"/>
      <family val="1"/>
    </font>
    <font>
      <b/>
      <sz val="12"/>
      <name val="Arial"/>
      <family val="2"/>
    </font>
    <font>
      <sz val="10"/>
      <color indexed="8"/>
      <name val="Times New Roman"/>
      <family val="1"/>
    </font>
    <font>
      <i/>
      <sz val="10"/>
      <name val="Arial"/>
      <family val="2"/>
    </font>
    <font>
      <b/>
      <sz val="8"/>
      <name val="Tahoma"/>
      <family val="0"/>
    </font>
    <font>
      <sz val="1.5"/>
      <name val="Arial"/>
      <family val="0"/>
    </font>
    <font>
      <b/>
      <sz val="2"/>
      <name val="Arial"/>
      <family val="0"/>
    </font>
    <font>
      <b/>
      <sz val="11.75"/>
      <name val="Arial"/>
      <family val="0"/>
    </font>
    <font>
      <b/>
      <sz val="8"/>
      <name val="Arial"/>
      <family val="2"/>
    </font>
  </fonts>
  <fills count="9">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s>
  <borders count="78">
    <border>
      <left/>
      <right/>
      <top/>
      <bottom/>
      <diagonal/>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color indexed="63"/>
      </top>
      <bottom style="thin"/>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style="medium"/>
    </border>
    <border>
      <left style="medium"/>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thin"/>
      <top style="medium"/>
      <bottom style="thin"/>
    </border>
    <border>
      <left style="thin"/>
      <right style="medium"/>
      <top style="medium"/>
      <bottom style="thin"/>
    </border>
    <border>
      <left style="medium"/>
      <right>
        <color indexed="63"/>
      </right>
      <top style="thin"/>
      <bottom style="medium"/>
    </border>
    <border>
      <left style="thin"/>
      <right>
        <color indexed="63"/>
      </right>
      <top style="thin"/>
      <bottom style="medium"/>
    </border>
    <border>
      <left style="thin"/>
      <right style="thin"/>
      <top style="thin"/>
      <bottom style="medium"/>
    </border>
    <border>
      <left>
        <color indexed="63"/>
      </left>
      <right>
        <color indexed="63"/>
      </right>
      <top style="thin"/>
      <bottom style="medium"/>
    </border>
    <border>
      <left style="medium"/>
      <right>
        <color indexed="63"/>
      </right>
      <top style="thin"/>
      <bottom>
        <color indexed="63"/>
      </bottom>
    </border>
    <border>
      <left style="thin"/>
      <right style="thin"/>
      <top>
        <color indexed="63"/>
      </top>
      <bottom style="thin"/>
    </border>
    <border>
      <left style="thin"/>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thin"/>
      <right style="thin"/>
      <top style="medium"/>
      <bottom style="medium"/>
    </border>
    <border>
      <left style="medium"/>
      <right style="thin"/>
      <top style="medium"/>
      <bottom style="medium"/>
    </border>
    <border>
      <left style="medium"/>
      <right style="thin"/>
      <top>
        <color indexed="63"/>
      </top>
      <bottom>
        <color indexed="63"/>
      </bottom>
    </border>
    <border>
      <left style="medium"/>
      <right style="thin"/>
      <top>
        <color indexed="63"/>
      </top>
      <bottom style="medium"/>
    </border>
    <border>
      <left style="thin"/>
      <right style="medium"/>
      <top style="medium"/>
      <bottom style="medium"/>
    </border>
    <border>
      <left style="thin"/>
      <right style="medium"/>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medium"/>
      <right style="medium"/>
      <top style="medium"/>
      <bottom style="medium"/>
    </border>
    <border>
      <left style="thin"/>
      <right style="thin"/>
      <top style="thin"/>
      <bottom style="thin"/>
    </border>
    <border>
      <left style="medium"/>
      <right style="thin">
        <color indexed="8"/>
      </right>
      <top>
        <color indexed="63"/>
      </top>
      <bottom style="medium"/>
    </border>
    <border>
      <left style="thin"/>
      <right style="medium"/>
      <top style="thin"/>
      <bottom style="thin"/>
    </border>
    <border>
      <left style="medium"/>
      <right style="thin"/>
      <top style="thin"/>
      <bottom style="thin"/>
    </border>
    <border>
      <left>
        <color indexed="63"/>
      </left>
      <right style="thin"/>
      <top style="thin"/>
      <bottom style="medium"/>
    </border>
    <border>
      <left>
        <color indexed="63"/>
      </left>
      <right style="thin"/>
      <top>
        <color indexed="63"/>
      </top>
      <bottom style="thin"/>
    </border>
    <border>
      <left style="medium"/>
      <right style="thin"/>
      <top style="medium"/>
      <bottom style="thin"/>
    </border>
    <border>
      <left style="medium"/>
      <right style="thin"/>
      <top style="thin"/>
      <bottom style="medium"/>
    </border>
    <border>
      <left style="medium"/>
      <right style="thin"/>
      <top>
        <color indexed="63"/>
      </top>
      <bottom style="thin"/>
    </border>
    <border>
      <left>
        <color indexed="63"/>
      </left>
      <right style="thin"/>
      <top style="medium"/>
      <bottom style="medium"/>
    </border>
    <border>
      <left style="medium"/>
      <right style="thin"/>
      <top style="medium"/>
      <bottom>
        <color indexed="63"/>
      </bottom>
    </border>
    <border>
      <left>
        <color indexed="63"/>
      </left>
      <right style="thin"/>
      <top style="thin"/>
      <bottom>
        <color indexed="63"/>
      </bottom>
    </border>
    <border>
      <left style="thin"/>
      <right style="medium"/>
      <top style="thin"/>
      <bottom>
        <color indexed="63"/>
      </bottom>
    </border>
    <border>
      <left>
        <color indexed="63"/>
      </left>
      <right style="medium"/>
      <top style="thin"/>
      <bottom style="medium"/>
    </border>
    <border>
      <left style="medium"/>
      <right style="thin"/>
      <top style="thin"/>
      <bottom>
        <color indexed="63"/>
      </bottom>
    </border>
    <border>
      <left style="medium"/>
      <right style="medium"/>
      <top style="thin"/>
      <bottom style="thin"/>
    </border>
    <border>
      <left style="medium"/>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453">
    <xf numFmtId="0" fontId="0" fillId="0" borderId="0" xfId="0" applyAlignment="1">
      <alignment/>
    </xf>
    <xf numFmtId="2" fontId="0" fillId="0" borderId="0" xfId="0" applyNumberFormat="1" applyBorder="1" applyAlignment="1">
      <alignment/>
    </xf>
    <xf numFmtId="1" fontId="0" fillId="0" borderId="0" xfId="0" applyNumberFormat="1" applyBorder="1" applyAlignment="1">
      <alignment/>
    </xf>
    <xf numFmtId="2" fontId="0" fillId="0" borderId="0" xfId="0" applyNumberFormat="1" applyAlignment="1">
      <alignment/>
    </xf>
    <xf numFmtId="1" fontId="0" fillId="0" borderId="0" xfId="0" applyNumberFormat="1" applyAlignment="1">
      <alignment/>
    </xf>
    <xf numFmtId="0" fontId="1" fillId="0" borderId="1" xfId="0" applyFont="1" applyBorder="1" applyAlignment="1">
      <alignment/>
    </xf>
    <xf numFmtId="0" fontId="2" fillId="0" borderId="0" xfId="0" applyFont="1" applyAlignment="1">
      <alignment/>
    </xf>
    <xf numFmtId="0" fontId="0" fillId="0" borderId="0" xfId="0" applyBorder="1" applyAlignment="1">
      <alignment/>
    </xf>
    <xf numFmtId="0" fontId="1" fillId="0" borderId="0" xfId="0" applyFont="1" applyBorder="1" applyAlignment="1">
      <alignment/>
    </xf>
    <xf numFmtId="0" fontId="1" fillId="0" borderId="2" xfId="0" applyFont="1"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80" fontId="0" fillId="0" borderId="0" xfId="0" applyNumberFormat="1" applyBorder="1" applyAlignment="1">
      <alignment/>
    </xf>
    <xf numFmtId="180" fontId="0" fillId="0" borderId="8" xfId="0" applyNumberFormat="1" applyBorder="1" applyAlignment="1">
      <alignment/>
    </xf>
    <xf numFmtId="2" fontId="0" fillId="0" borderId="6" xfId="0" applyNumberFormat="1" applyBorder="1" applyAlignment="1">
      <alignment/>
    </xf>
    <xf numFmtId="2" fontId="0" fillId="0" borderId="8" xfId="0" applyNumberFormat="1" applyBorder="1" applyAlignment="1">
      <alignment/>
    </xf>
    <xf numFmtId="2" fontId="0" fillId="0" borderId="9" xfId="0" applyNumberFormat="1" applyBorder="1" applyAlignment="1">
      <alignment/>
    </xf>
    <xf numFmtId="0" fontId="0" fillId="0" borderId="13" xfId="0" applyBorder="1" applyAlignment="1">
      <alignment/>
    </xf>
    <xf numFmtId="0" fontId="0" fillId="0" borderId="14" xfId="0" applyBorder="1" applyAlignment="1">
      <alignment/>
    </xf>
    <xf numFmtId="1" fontId="0" fillId="0" borderId="8" xfId="0" applyNumberFormat="1" applyBorder="1" applyAlignment="1">
      <alignment/>
    </xf>
    <xf numFmtId="0" fontId="0" fillId="0" borderId="15" xfId="0" applyBorder="1" applyAlignment="1">
      <alignment/>
    </xf>
    <xf numFmtId="0" fontId="0" fillId="0" borderId="2" xfId="0" applyBorder="1" applyAlignment="1">
      <alignment/>
    </xf>
    <xf numFmtId="2" fontId="0" fillId="0" borderId="1" xfId="0" applyNumberFormat="1" applyBorder="1" applyAlignment="1">
      <alignment/>
    </xf>
    <xf numFmtId="2" fontId="0" fillId="0" borderId="2" xfId="0" applyNumberFormat="1" applyBorder="1" applyAlignment="1">
      <alignment/>
    </xf>
    <xf numFmtId="0" fontId="0" fillId="0" borderId="16" xfId="0" applyBorder="1" applyAlignment="1">
      <alignment/>
    </xf>
    <xf numFmtId="1" fontId="0" fillId="0" borderId="17" xfId="0" applyNumberFormat="1" applyBorder="1" applyAlignment="1">
      <alignment/>
    </xf>
    <xf numFmtId="1" fontId="0" fillId="0" borderId="18" xfId="0" applyNumberFormat="1" applyBorder="1" applyAlignment="1">
      <alignment/>
    </xf>
    <xf numFmtId="0" fontId="0" fillId="0" borderId="18" xfId="0" applyBorder="1" applyAlignment="1">
      <alignment/>
    </xf>
    <xf numFmtId="0" fontId="0" fillId="0" borderId="1" xfId="0" applyBorder="1" applyAlignment="1">
      <alignment/>
    </xf>
    <xf numFmtId="0" fontId="0" fillId="0" borderId="17"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2" fillId="0" borderId="14" xfId="0" applyFont="1" applyBorder="1" applyAlignment="1">
      <alignment/>
    </xf>
    <xf numFmtId="1" fontId="0" fillId="0" borderId="6" xfId="0" applyNumberFormat="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2" fontId="0" fillId="0" borderId="43" xfId="0" applyNumberFormat="1" applyBorder="1" applyAlignment="1">
      <alignment/>
    </xf>
    <xf numFmtId="2" fontId="0" fillId="0" borderId="34" xfId="0" applyNumberFormat="1" applyBorder="1" applyAlignment="1">
      <alignment/>
    </xf>
    <xf numFmtId="1" fontId="0" fillId="0" borderId="9" xfId="0" applyNumberFormat="1" applyBorder="1" applyAlignment="1">
      <alignment/>
    </xf>
    <xf numFmtId="1" fontId="0" fillId="0" borderId="1" xfId="0" applyNumberFormat="1" applyBorder="1" applyAlignment="1">
      <alignment/>
    </xf>
    <xf numFmtId="1" fontId="0" fillId="0" borderId="2" xfId="0" applyNumberFormat="1"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177" fontId="1" fillId="0" borderId="0" xfId="0" applyNumberFormat="1" applyFont="1" applyBorder="1" applyAlignment="1">
      <alignment/>
    </xf>
    <xf numFmtId="2" fontId="0" fillId="0" borderId="45" xfId="0" applyNumberFormat="1" applyBorder="1" applyAlignment="1">
      <alignment/>
    </xf>
    <xf numFmtId="2" fontId="0" fillId="0" borderId="46" xfId="0" applyNumberFormat="1" applyBorder="1" applyAlignment="1">
      <alignment/>
    </xf>
    <xf numFmtId="0" fontId="0" fillId="0" borderId="10" xfId="0" applyFill="1" applyBorder="1" applyAlignment="1">
      <alignment/>
    </xf>
    <xf numFmtId="0" fontId="0" fillId="0" borderId="31" xfId="0" applyFill="1" applyBorder="1" applyAlignment="1">
      <alignment/>
    </xf>
    <xf numFmtId="0" fontId="0" fillId="0" borderId="42" xfId="0" applyFill="1" applyBorder="1" applyAlignment="1">
      <alignment/>
    </xf>
    <xf numFmtId="180" fontId="0" fillId="0" borderId="0" xfId="0" applyNumberFormat="1" applyAlignment="1">
      <alignment/>
    </xf>
    <xf numFmtId="0" fontId="0" fillId="0" borderId="0" xfId="0" applyAlignment="1">
      <alignment horizontal="right"/>
    </xf>
    <xf numFmtId="0" fontId="0" fillId="0" borderId="0" xfId="0" applyFill="1" applyAlignment="1">
      <alignment/>
    </xf>
    <xf numFmtId="2" fontId="0" fillId="0" borderId="0" xfId="0" applyNumberFormat="1" applyFill="1" applyAlignment="1">
      <alignment/>
    </xf>
    <xf numFmtId="0" fontId="0" fillId="2" borderId="0" xfId="0" applyFill="1" applyBorder="1" applyAlignment="1">
      <alignment/>
    </xf>
    <xf numFmtId="0" fontId="1" fillId="2" borderId="45" xfId="0" applyFont="1" applyFill="1" applyBorder="1" applyAlignment="1">
      <alignment/>
    </xf>
    <xf numFmtId="0" fontId="1" fillId="2" borderId="46" xfId="0" applyFont="1" applyFill="1" applyBorder="1" applyAlignment="1">
      <alignment/>
    </xf>
    <xf numFmtId="2" fontId="0" fillId="0" borderId="32" xfId="0" applyNumberFormat="1" applyBorder="1" applyAlignment="1">
      <alignment/>
    </xf>
    <xf numFmtId="0" fontId="0" fillId="0" borderId="48" xfId="0" applyBorder="1" applyAlignment="1">
      <alignment/>
    </xf>
    <xf numFmtId="2" fontId="0" fillId="0" borderId="31" xfId="0" applyNumberFormat="1"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2" fontId="0" fillId="0" borderId="50" xfId="0" applyNumberFormat="1" applyBorder="1" applyAlignment="1">
      <alignment/>
    </xf>
    <xf numFmtId="2" fontId="0" fillId="0" borderId="51" xfId="0" applyNumberFormat="1" applyBorder="1" applyAlignment="1">
      <alignment/>
    </xf>
    <xf numFmtId="0" fontId="1" fillId="0" borderId="0" xfId="0" applyFont="1" applyAlignment="1">
      <alignment/>
    </xf>
    <xf numFmtId="0" fontId="1" fillId="0" borderId="12" xfId="0" applyFont="1" applyFill="1" applyBorder="1" applyAlignment="1">
      <alignment/>
    </xf>
    <xf numFmtId="0" fontId="1" fillId="0" borderId="19" xfId="0" applyFont="1" applyFill="1" applyBorder="1" applyAlignment="1">
      <alignment horizontal="center"/>
    </xf>
    <xf numFmtId="0" fontId="1" fillId="0" borderId="52" xfId="0" applyFont="1" applyFill="1" applyBorder="1" applyAlignment="1">
      <alignment horizontal="center"/>
    </xf>
    <xf numFmtId="0" fontId="1" fillId="0" borderId="5" xfId="0" applyFont="1" applyFill="1" applyBorder="1" applyAlignment="1">
      <alignment/>
    </xf>
    <xf numFmtId="0" fontId="1" fillId="2" borderId="1" xfId="0" applyFont="1" applyFill="1" applyBorder="1" applyAlignment="1">
      <alignment horizontal="center"/>
    </xf>
    <xf numFmtId="0" fontId="1" fillId="2" borderId="53" xfId="0" applyFont="1" applyFill="1" applyBorder="1" applyAlignment="1">
      <alignment horizontal="center"/>
    </xf>
    <xf numFmtId="0" fontId="1" fillId="0" borderId="7" xfId="0" applyFont="1" applyFill="1" applyBorder="1" applyAlignment="1">
      <alignment/>
    </xf>
    <xf numFmtId="0" fontId="1" fillId="2" borderId="2" xfId="0" applyFont="1" applyFill="1" applyBorder="1" applyAlignment="1">
      <alignment horizontal="center"/>
    </xf>
    <xf numFmtId="0" fontId="1" fillId="2" borderId="34" xfId="0" applyFont="1" applyFill="1" applyBorder="1" applyAlignment="1">
      <alignment horizontal="center"/>
    </xf>
    <xf numFmtId="0" fontId="1" fillId="0" borderId="20" xfId="0" applyFont="1" applyBorder="1" applyAlignment="1">
      <alignment/>
    </xf>
    <xf numFmtId="0" fontId="1" fillId="0" borderId="36" xfId="0" applyFont="1" applyFill="1" applyBorder="1" applyAlignment="1">
      <alignment horizontal="center"/>
    </xf>
    <xf numFmtId="0" fontId="1" fillId="0" borderId="5" xfId="0" applyFont="1" applyBorder="1" applyAlignment="1">
      <alignment/>
    </xf>
    <xf numFmtId="0" fontId="6" fillId="0" borderId="0" xfId="0" applyFont="1" applyAlignment="1" quotePrefix="1">
      <alignment/>
    </xf>
    <xf numFmtId="0" fontId="1" fillId="0" borderId="7" xfId="0" applyFont="1" applyBorder="1" applyAlignment="1">
      <alignment/>
    </xf>
    <xf numFmtId="0" fontId="1" fillId="0" borderId="20" xfId="0" applyFont="1" applyFill="1" applyBorder="1" applyAlignment="1">
      <alignment/>
    </xf>
    <xf numFmtId="0" fontId="1" fillId="0" borderId="30" xfId="0" applyFont="1" applyFill="1" applyBorder="1" applyAlignment="1">
      <alignment horizontal="center"/>
    </xf>
    <xf numFmtId="0" fontId="1" fillId="0" borderId="3" xfId="0" applyFont="1" applyFill="1" applyBorder="1" applyAlignment="1">
      <alignment horizontal="center"/>
    </xf>
    <xf numFmtId="0" fontId="1" fillId="0" borderId="15" xfId="0" applyFont="1" applyFill="1" applyBorder="1" applyAlignment="1">
      <alignment horizontal="center"/>
    </xf>
    <xf numFmtId="0" fontId="1" fillId="0" borderId="41" xfId="0" applyFont="1" applyFill="1" applyBorder="1" applyAlignment="1">
      <alignment/>
    </xf>
    <xf numFmtId="0" fontId="1" fillId="2" borderId="54" xfId="0" applyFont="1" applyFill="1" applyBorder="1" applyAlignment="1">
      <alignment horizontal="center"/>
    </xf>
    <xf numFmtId="0" fontId="1" fillId="2" borderId="55" xfId="0" applyFont="1" applyFill="1" applyBorder="1" applyAlignment="1">
      <alignment horizontal="center"/>
    </xf>
    <xf numFmtId="0" fontId="1" fillId="2" borderId="56" xfId="0" applyFont="1" applyFill="1" applyBorder="1" applyAlignment="1">
      <alignment horizontal="center"/>
    </xf>
    <xf numFmtId="0" fontId="1" fillId="0" borderId="5" xfId="0" applyFont="1" applyFill="1" applyBorder="1" applyAlignment="1">
      <alignment horizontal="left" indent="1"/>
    </xf>
    <xf numFmtId="0" fontId="1" fillId="2" borderId="31" xfId="0" applyFont="1" applyFill="1" applyBorder="1" applyAlignment="1">
      <alignment horizontal="center"/>
    </xf>
    <xf numFmtId="0" fontId="1" fillId="2" borderId="0" xfId="0" applyFont="1" applyFill="1" applyBorder="1" applyAlignment="1">
      <alignment horizontal="center"/>
    </xf>
    <xf numFmtId="0" fontId="1" fillId="0" borderId="13" xfId="0" applyFont="1" applyFill="1" applyBorder="1" applyAlignment="1">
      <alignment horizontal="left" indent="1"/>
    </xf>
    <xf numFmtId="0" fontId="1" fillId="2" borderId="42" xfId="0" applyFont="1" applyFill="1" applyBorder="1" applyAlignment="1">
      <alignment horizontal="center"/>
    </xf>
    <xf numFmtId="0" fontId="1" fillId="2" borderId="57" xfId="0" applyFont="1" applyFill="1" applyBorder="1" applyAlignment="1">
      <alignment horizontal="center"/>
    </xf>
    <xf numFmtId="0" fontId="1" fillId="2" borderId="58" xfId="0" applyFont="1" applyFill="1" applyBorder="1" applyAlignment="1">
      <alignment horizontal="center"/>
    </xf>
    <xf numFmtId="0" fontId="1" fillId="2" borderId="59" xfId="0" applyFont="1" applyFill="1" applyBorder="1" applyAlignment="1">
      <alignment horizontal="center"/>
    </xf>
    <xf numFmtId="0" fontId="1" fillId="0" borderId="7" xfId="0" applyFont="1" applyFill="1" applyBorder="1" applyAlignment="1">
      <alignment horizontal="left" indent="1"/>
    </xf>
    <xf numFmtId="0" fontId="1" fillId="2" borderId="32" xfId="0" applyFont="1" applyFill="1" applyBorder="1" applyAlignment="1">
      <alignment horizontal="center"/>
    </xf>
    <xf numFmtId="0" fontId="1" fillId="2" borderId="8" xfId="0" applyFont="1" applyFill="1" applyBorder="1" applyAlignment="1">
      <alignment horizontal="center"/>
    </xf>
    <xf numFmtId="0" fontId="5" fillId="0" borderId="0" xfId="0" applyFont="1" applyAlignment="1">
      <alignment/>
    </xf>
    <xf numFmtId="0" fontId="3" fillId="0" borderId="12" xfId="0" applyFont="1" applyBorder="1" applyAlignment="1">
      <alignment/>
    </xf>
    <xf numFmtId="0" fontId="3" fillId="0" borderId="48" xfId="0" applyFont="1" applyFill="1" applyBorder="1" applyAlignment="1">
      <alignment/>
    </xf>
    <xf numFmtId="0" fontId="1" fillId="0" borderId="31" xfId="0" applyFont="1" applyFill="1" applyBorder="1" applyAlignment="1">
      <alignment horizontal="center"/>
    </xf>
    <xf numFmtId="0" fontId="1" fillId="0" borderId="0" xfId="0" applyFont="1" applyFill="1" applyBorder="1" applyAlignment="1">
      <alignment/>
    </xf>
    <xf numFmtId="0" fontId="3" fillId="0" borderId="49" xfId="0" applyFont="1" applyBorder="1" applyAlignment="1">
      <alignment horizontal="left"/>
    </xf>
    <xf numFmtId="0" fontId="1" fillId="0" borderId="10" xfId="0" applyFont="1" applyBorder="1" applyAlignment="1">
      <alignment/>
    </xf>
    <xf numFmtId="0" fontId="1" fillId="0" borderId="32" xfId="0" applyFont="1" applyFill="1" applyBorder="1" applyAlignment="1">
      <alignment horizontal="center"/>
    </xf>
    <xf numFmtId="0" fontId="1" fillId="0" borderId="12" xfId="0" applyFont="1" applyBorder="1" applyAlignment="1">
      <alignment/>
    </xf>
    <xf numFmtId="0" fontId="1" fillId="0" borderId="11" xfId="0" applyFont="1" applyBorder="1" applyAlignment="1">
      <alignment/>
    </xf>
    <xf numFmtId="2" fontId="1" fillId="0" borderId="19" xfId="0" applyNumberFormat="1" applyFont="1" applyBorder="1" applyAlignment="1">
      <alignment/>
    </xf>
    <xf numFmtId="2" fontId="1" fillId="0" borderId="48" xfId="0" applyNumberFormat="1" applyFont="1" applyBorder="1" applyAlignment="1">
      <alignment/>
    </xf>
    <xf numFmtId="2" fontId="1" fillId="0" borderId="11" xfId="0" applyNumberFormat="1" applyFont="1" applyBorder="1" applyAlignment="1">
      <alignment/>
    </xf>
    <xf numFmtId="2" fontId="1" fillId="0" borderId="2" xfId="0" applyNumberFormat="1" applyFont="1" applyBorder="1" applyAlignment="1">
      <alignment/>
    </xf>
    <xf numFmtId="2" fontId="1" fillId="0" borderId="32" xfId="0" applyNumberFormat="1" applyFont="1" applyBorder="1" applyAlignment="1">
      <alignment/>
    </xf>
    <xf numFmtId="0" fontId="1" fillId="0" borderId="9" xfId="0" applyFont="1" applyBorder="1" applyAlignment="1">
      <alignment/>
    </xf>
    <xf numFmtId="0" fontId="1" fillId="0" borderId="60" xfId="0" applyFont="1" applyFill="1" applyBorder="1" applyAlignment="1">
      <alignment/>
    </xf>
    <xf numFmtId="0" fontId="1" fillId="0" borderId="60" xfId="0" applyFont="1" applyBorder="1" applyAlignment="1">
      <alignment/>
    </xf>
    <xf numFmtId="0" fontId="1" fillId="0" borderId="0" xfId="0" applyFont="1" applyFill="1" applyBorder="1" applyAlignment="1">
      <alignment horizontal="center"/>
    </xf>
    <xf numFmtId="0" fontId="1" fillId="2" borderId="1" xfId="0" applyFont="1" applyFill="1" applyBorder="1" applyAlignment="1">
      <alignment/>
    </xf>
    <xf numFmtId="0" fontId="1" fillId="2" borderId="31" xfId="0" applyFont="1" applyFill="1" applyBorder="1" applyAlignment="1">
      <alignment/>
    </xf>
    <xf numFmtId="0" fontId="1" fillId="2" borderId="6" xfId="0" applyFont="1" applyFill="1" applyBorder="1" applyAlignment="1">
      <alignment/>
    </xf>
    <xf numFmtId="0" fontId="1" fillId="2" borderId="5" xfId="0" applyFont="1" applyFill="1" applyBorder="1" applyAlignment="1">
      <alignment/>
    </xf>
    <xf numFmtId="0" fontId="1" fillId="0" borderId="8" xfId="0" applyFont="1" applyFill="1" applyBorder="1" applyAlignment="1">
      <alignment horizontal="center"/>
    </xf>
    <xf numFmtId="0" fontId="1" fillId="2" borderId="2" xfId="0" applyFont="1" applyFill="1" applyBorder="1" applyAlignment="1">
      <alignment/>
    </xf>
    <xf numFmtId="0" fontId="1" fillId="2" borderId="32" xfId="0" applyFont="1" applyFill="1" applyBorder="1" applyAlignment="1">
      <alignment/>
    </xf>
    <xf numFmtId="0" fontId="1" fillId="2" borderId="9" xfId="0" applyFont="1" applyFill="1" applyBorder="1" applyAlignment="1">
      <alignment/>
    </xf>
    <xf numFmtId="0" fontId="1" fillId="2" borderId="7" xfId="0" applyFont="1" applyFill="1" applyBorder="1" applyAlignment="1">
      <alignment/>
    </xf>
    <xf numFmtId="0" fontId="7" fillId="0" borderId="0" xfId="0" applyFont="1" applyAlignment="1">
      <alignment/>
    </xf>
    <xf numFmtId="0" fontId="3" fillId="3" borderId="12" xfId="0" applyFont="1" applyFill="1" applyBorder="1" applyAlignment="1">
      <alignment/>
    </xf>
    <xf numFmtId="0" fontId="1" fillId="3" borderId="10" xfId="0" applyFont="1" applyFill="1" applyBorder="1" applyAlignment="1">
      <alignment/>
    </xf>
    <xf numFmtId="0" fontId="1" fillId="3" borderId="11" xfId="0" applyFont="1" applyFill="1" applyBorder="1" applyAlignment="1">
      <alignment/>
    </xf>
    <xf numFmtId="0" fontId="1" fillId="3" borderId="12" xfId="0" applyFont="1" applyFill="1" applyBorder="1" applyAlignment="1">
      <alignment/>
    </xf>
    <xf numFmtId="0" fontId="1" fillId="3" borderId="5" xfId="0" applyFont="1" applyFill="1" applyBorder="1" applyAlignment="1">
      <alignment/>
    </xf>
    <xf numFmtId="0" fontId="1" fillId="3" borderId="13" xfId="0" applyFont="1" applyFill="1" applyBorder="1" applyAlignment="1">
      <alignment/>
    </xf>
    <xf numFmtId="0" fontId="3" fillId="3" borderId="7" xfId="0" applyFont="1" applyFill="1" applyBorder="1" applyAlignment="1">
      <alignment/>
    </xf>
    <xf numFmtId="0" fontId="1" fillId="0" borderId="0" xfId="0" applyFont="1" applyFill="1" applyAlignment="1">
      <alignment/>
    </xf>
    <xf numFmtId="0" fontId="1" fillId="3" borderId="14" xfId="0" applyFont="1" applyFill="1" applyBorder="1" applyAlignment="1">
      <alignment/>
    </xf>
    <xf numFmtId="0" fontId="1" fillId="3" borderId="4" xfId="0" applyFont="1" applyFill="1" applyBorder="1" applyAlignment="1">
      <alignment/>
    </xf>
    <xf numFmtId="0" fontId="1" fillId="3" borderId="7" xfId="0" applyFont="1" applyFill="1" applyBorder="1" applyAlignment="1">
      <alignment/>
    </xf>
    <xf numFmtId="0" fontId="1" fillId="3" borderId="9" xfId="0" applyFont="1" applyFill="1" applyBorder="1" applyAlignment="1">
      <alignment/>
    </xf>
    <xf numFmtId="0" fontId="1" fillId="3" borderId="6" xfId="0" applyFont="1" applyFill="1" applyBorder="1" applyAlignment="1">
      <alignment/>
    </xf>
    <xf numFmtId="0" fontId="1" fillId="4" borderId="7" xfId="0" applyFont="1" applyFill="1" applyBorder="1" applyAlignment="1">
      <alignment/>
    </xf>
    <xf numFmtId="2" fontId="1" fillId="4" borderId="9" xfId="0" applyNumberFormat="1" applyFont="1" applyFill="1" applyBorder="1" applyAlignment="1">
      <alignment/>
    </xf>
    <xf numFmtId="0" fontId="1" fillId="3" borderId="3" xfId="0" applyFont="1" applyFill="1" applyBorder="1" applyAlignment="1">
      <alignment/>
    </xf>
    <xf numFmtId="0" fontId="0" fillId="5" borderId="0" xfId="0" applyFill="1" applyAlignment="1">
      <alignment/>
    </xf>
    <xf numFmtId="0" fontId="0" fillId="5" borderId="14" xfId="0" applyFill="1" applyBorder="1" applyAlignment="1">
      <alignment/>
    </xf>
    <xf numFmtId="0" fontId="0" fillId="5" borderId="3" xfId="0" applyFill="1" applyBorder="1" applyAlignment="1">
      <alignment/>
    </xf>
    <xf numFmtId="0" fontId="0" fillId="5" borderId="4" xfId="0" applyFill="1" applyBorder="1" applyAlignment="1">
      <alignment/>
    </xf>
    <xf numFmtId="0" fontId="0" fillId="5" borderId="5" xfId="0" applyFill="1" applyBorder="1" applyAlignment="1">
      <alignment/>
    </xf>
    <xf numFmtId="0" fontId="0" fillId="5" borderId="0" xfId="0" applyFill="1" applyBorder="1" applyAlignment="1">
      <alignment/>
    </xf>
    <xf numFmtId="0" fontId="0" fillId="5" borderId="12" xfId="0" applyFill="1" applyBorder="1" applyAlignment="1">
      <alignment/>
    </xf>
    <xf numFmtId="0" fontId="0" fillId="5" borderId="60" xfId="0" applyFill="1" applyBorder="1" applyAlignment="1">
      <alignment/>
    </xf>
    <xf numFmtId="0" fontId="0" fillId="5" borderId="7" xfId="0" applyFill="1" applyBorder="1" applyAlignment="1">
      <alignment/>
    </xf>
    <xf numFmtId="0" fontId="0" fillId="5" borderId="8" xfId="0" applyFill="1" applyBorder="1" applyAlignment="1">
      <alignment/>
    </xf>
    <xf numFmtId="2" fontId="0" fillId="5" borderId="7" xfId="0" applyNumberFormat="1" applyFill="1" applyBorder="1" applyAlignment="1">
      <alignment/>
    </xf>
    <xf numFmtId="2" fontId="0" fillId="5" borderId="46" xfId="0" applyNumberFormat="1" applyFill="1" applyBorder="1" applyAlignment="1">
      <alignment/>
    </xf>
    <xf numFmtId="0" fontId="0" fillId="5" borderId="44" xfId="0" applyFill="1" applyBorder="1" applyAlignment="1">
      <alignment/>
    </xf>
    <xf numFmtId="2" fontId="0" fillId="5" borderId="5" xfId="0" applyNumberFormat="1" applyFill="1" applyBorder="1" applyAlignment="1">
      <alignment/>
    </xf>
    <xf numFmtId="2" fontId="0" fillId="5" borderId="45" xfId="0" applyNumberFormat="1" applyFill="1" applyBorder="1" applyAlignment="1">
      <alignment/>
    </xf>
    <xf numFmtId="0" fontId="0" fillId="5" borderId="10" xfId="0" applyFill="1" applyBorder="1" applyAlignment="1">
      <alignment/>
    </xf>
    <xf numFmtId="2" fontId="0" fillId="5" borderId="12" xfId="0" applyNumberFormat="1" applyFill="1" applyBorder="1" applyAlignment="1">
      <alignment/>
    </xf>
    <xf numFmtId="2" fontId="0" fillId="5" borderId="60" xfId="0" applyNumberFormat="1" applyFill="1" applyBorder="1" applyAlignment="1">
      <alignment/>
    </xf>
    <xf numFmtId="0" fontId="0" fillId="5" borderId="45" xfId="0" applyFill="1" applyBorder="1" applyAlignment="1">
      <alignment/>
    </xf>
    <xf numFmtId="0" fontId="0" fillId="5" borderId="6" xfId="0" applyFill="1" applyBorder="1" applyAlignment="1">
      <alignment/>
    </xf>
    <xf numFmtId="0" fontId="0" fillId="5" borderId="11" xfId="0" applyFill="1" applyBorder="1" applyAlignment="1">
      <alignment/>
    </xf>
    <xf numFmtId="0" fontId="0" fillId="5" borderId="46" xfId="0" applyFill="1" applyBorder="1" applyAlignment="1">
      <alignment/>
    </xf>
    <xf numFmtId="0" fontId="0" fillId="5" borderId="9" xfId="0" applyFill="1" applyBorder="1" applyAlignment="1">
      <alignment/>
    </xf>
    <xf numFmtId="0" fontId="3" fillId="4" borderId="7" xfId="0" applyFont="1" applyFill="1" applyBorder="1" applyAlignment="1">
      <alignment/>
    </xf>
    <xf numFmtId="0" fontId="4" fillId="0" borderId="12" xfId="0" applyFont="1" applyBorder="1" applyAlignment="1">
      <alignment/>
    </xf>
    <xf numFmtId="0" fontId="4" fillId="0" borderId="10" xfId="0" applyFont="1" applyBorder="1" applyAlignment="1">
      <alignment/>
    </xf>
    <xf numFmtId="0" fontId="4" fillId="0" borderId="11" xfId="0" applyFont="1" applyBorder="1" applyAlignment="1">
      <alignment/>
    </xf>
    <xf numFmtId="0" fontId="4" fillId="0" borderId="5" xfId="0" applyFont="1" applyBorder="1" applyAlignment="1">
      <alignment/>
    </xf>
    <xf numFmtId="1" fontId="4" fillId="0" borderId="1" xfId="0" applyNumberFormat="1" applyFont="1" applyBorder="1" applyAlignment="1">
      <alignment/>
    </xf>
    <xf numFmtId="1" fontId="4" fillId="0" borderId="53" xfId="0" applyNumberFormat="1" applyFont="1" applyBorder="1" applyAlignment="1">
      <alignment/>
    </xf>
    <xf numFmtId="0" fontId="4" fillId="0" borderId="7" xfId="0" applyFont="1" applyBorder="1" applyAlignment="1">
      <alignment/>
    </xf>
    <xf numFmtId="1" fontId="4" fillId="0" borderId="2" xfId="0" applyNumberFormat="1" applyFont="1" applyBorder="1" applyAlignment="1">
      <alignment/>
    </xf>
    <xf numFmtId="1" fontId="4" fillId="0" borderId="34" xfId="0" applyNumberFormat="1" applyFont="1" applyBorder="1" applyAlignment="1">
      <alignment/>
    </xf>
    <xf numFmtId="0" fontId="4" fillId="0" borderId="0" xfId="0" applyFont="1" applyBorder="1" applyAlignment="1">
      <alignment/>
    </xf>
    <xf numFmtId="0" fontId="1" fillId="0" borderId="44" xfId="0" applyFont="1" applyBorder="1" applyAlignment="1">
      <alignment/>
    </xf>
    <xf numFmtId="0" fontId="1" fillId="0" borderId="3" xfId="0" applyFont="1" applyBorder="1" applyAlignment="1">
      <alignment/>
    </xf>
    <xf numFmtId="0" fontId="1" fillId="0" borderId="46" xfId="0" applyFont="1" applyBorder="1" applyAlignment="1">
      <alignment/>
    </xf>
    <xf numFmtId="0" fontId="1" fillId="0" borderId="8" xfId="0" applyFont="1" applyBorder="1" applyAlignment="1">
      <alignment/>
    </xf>
    <xf numFmtId="2" fontId="1" fillId="0" borderId="1" xfId="0" applyNumberFormat="1" applyFont="1" applyBorder="1" applyAlignment="1">
      <alignment/>
    </xf>
    <xf numFmtId="1" fontId="3" fillId="0" borderId="11" xfId="0" applyNumberFormat="1" applyFont="1" applyBorder="1" applyAlignment="1">
      <alignment/>
    </xf>
    <xf numFmtId="2" fontId="3" fillId="0" borderId="48" xfId="0" applyNumberFormat="1" applyFont="1" applyBorder="1" applyAlignment="1">
      <alignment/>
    </xf>
    <xf numFmtId="0" fontId="5" fillId="0" borderId="0" xfId="0" applyFont="1" applyFill="1" applyAlignment="1">
      <alignment/>
    </xf>
    <xf numFmtId="0" fontId="1" fillId="6" borderId="0" xfId="0" applyFont="1" applyFill="1" applyBorder="1" applyAlignment="1">
      <alignment/>
    </xf>
    <xf numFmtId="0" fontId="0" fillId="5" borderId="21" xfId="0" applyFill="1" applyBorder="1" applyAlignment="1">
      <alignment/>
    </xf>
    <xf numFmtId="0" fontId="0" fillId="5" borderId="23" xfId="0" applyFill="1" applyBorder="1" applyAlignment="1">
      <alignment/>
    </xf>
    <xf numFmtId="0" fontId="0" fillId="0" borderId="52" xfId="0" applyBorder="1" applyAlignment="1">
      <alignment/>
    </xf>
    <xf numFmtId="0" fontId="0" fillId="0" borderId="10" xfId="0" applyFill="1" applyBorder="1" applyAlignment="1">
      <alignment horizontal="right"/>
    </xf>
    <xf numFmtId="0" fontId="0" fillId="0" borderId="19" xfId="0" applyFill="1" applyBorder="1" applyAlignment="1">
      <alignment horizontal="right"/>
    </xf>
    <xf numFmtId="0" fontId="0" fillId="0" borderId="48" xfId="0" applyFill="1" applyBorder="1" applyAlignment="1">
      <alignment horizontal="right"/>
    </xf>
    <xf numFmtId="0" fontId="0" fillId="0" borderId="52" xfId="0" applyFill="1" applyBorder="1" applyAlignment="1">
      <alignment horizontal="right"/>
    </xf>
    <xf numFmtId="0" fontId="4" fillId="0" borderId="49" xfId="0" applyFont="1" applyBorder="1" applyAlignment="1">
      <alignment/>
    </xf>
    <xf numFmtId="0" fontId="1" fillId="2" borderId="0" xfId="0" applyFont="1" applyFill="1" applyAlignment="1">
      <alignment/>
    </xf>
    <xf numFmtId="0" fontId="1" fillId="5" borderId="0" xfId="0" applyFont="1" applyFill="1" applyAlignment="1">
      <alignment/>
    </xf>
    <xf numFmtId="0" fontId="0" fillId="0" borderId="60" xfId="0" applyBorder="1" applyAlignment="1">
      <alignment/>
    </xf>
    <xf numFmtId="0" fontId="0" fillId="0" borderId="60" xfId="0" applyBorder="1" applyAlignment="1">
      <alignment horizontal="right"/>
    </xf>
    <xf numFmtId="0" fontId="1" fillId="0" borderId="58" xfId="0" applyFont="1" applyBorder="1" applyAlignment="1">
      <alignment/>
    </xf>
    <xf numFmtId="0" fontId="12" fillId="0" borderId="26" xfId="0" applyFont="1" applyBorder="1" applyAlignment="1">
      <alignment/>
    </xf>
    <xf numFmtId="0" fontId="11" fillId="0" borderId="26" xfId="0" applyFont="1" applyBorder="1" applyAlignment="1">
      <alignment/>
    </xf>
    <xf numFmtId="0" fontId="11" fillId="0" borderId="61" xfId="0" applyFont="1" applyBorder="1" applyAlignment="1">
      <alignment/>
    </xf>
    <xf numFmtId="0" fontId="0" fillId="2" borderId="45" xfId="0" applyFill="1" applyBorder="1" applyAlignment="1">
      <alignment/>
    </xf>
    <xf numFmtId="0" fontId="0" fillId="0" borderId="62" xfId="0" applyBorder="1" applyAlignment="1">
      <alignment/>
    </xf>
    <xf numFmtId="0" fontId="0" fillId="0" borderId="0" xfId="0" applyFill="1" applyBorder="1" applyAlignment="1">
      <alignment/>
    </xf>
    <xf numFmtId="0" fontId="13" fillId="0" borderId="0" xfId="0" applyFont="1" applyAlignment="1">
      <alignment/>
    </xf>
    <xf numFmtId="0" fontId="3" fillId="0" borderId="0" xfId="0" applyFont="1" applyBorder="1" applyAlignment="1">
      <alignment horizontal="left"/>
    </xf>
    <xf numFmtId="0" fontId="3" fillId="3" borderId="14" xfId="0" applyFont="1" applyFill="1" applyBorder="1" applyAlignment="1">
      <alignment/>
    </xf>
    <xf numFmtId="0" fontId="3" fillId="3" borderId="5" xfId="0" applyFont="1" applyFill="1" applyBorder="1" applyAlignment="1">
      <alignment/>
    </xf>
    <xf numFmtId="0" fontId="3" fillId="6" borderId="36" xfId="0" applyFont="1" applyFill="1" applyBorder="1" applyAlignment="1">
      <alignment/>
    </xf>
    <xf numFmtId="0" fontId="3" fillId="3" borderId="60" xfId="0" applyFont="1" applyFill="1" applyBorder="1" applyAlignment="1">
      <alignment/>
    </xf>
    <xf numFmtId="0" fontId="1" fillId="4" borderId="44" xfId="0" applyFont="1" applyFill="1" applyBorder="1" applyAlignment="1">
      <alignment/>
    </xf>
    <xf numFmtId="0" fontId="1" fillId="4" borderId="45" xfId="0" applyFont="1" applyFill="1" applyBorder="1" applyAlignment="1">
      <alignment/>
    </xf>
    <xf numFmtId="0" fontId="1" fillId="4" borderId="46" xfId="0" applyFont="1" applyFill="1" applyBorder="1" applyAlignment="1">
      <alignment/>
    </xf>
    <xf numFmtId="0" fontId="3" fillId="4" borderId="12" xfId="0" applyFont="1" applyFill="1" applyBorder="1" applyAlignment="1">
      <alignment/>
    </xf>
    <xf numFmtId="0" fontId="1" fillId="2" borderId="63" xfId="0" applyFont="1" applyFill="1" applyBorder="1" applyAlignment="1">
      <alignment/>
    </xf>
    <xf numFmtId="0" fontId="3" fillId="6" borderId="52" xfId="0" applyFont="1" applyFill="1" applyBorder="1" applyAlignment="1">
      <alignment/>
    </xf>
    <xf numFmtId="0" fontId="1" fillId="2" borderId="64" xfId="0" applyFont="1" applyFill="1" applyBorder="1" applyAlignment="1">
      <alignment horizontal="center"/>
    </xf>
    <xf numFmtId="0" fontId="1" fillId="3" borderId="44" xfId="0" applyFont="1" applyFill="1" applyBorder="1" applyAlignment="1">
      <alignment/>
    </xf>
    <xf numFmtId="0" fontId="1" fillId="3" borderId="45" xfId="0" applyFont="1" applyFill="1" applyBorder="1" applyAlignment="1">
      <alignment/>
    </xf>
    <xf numFmtId="0" fontId="1" fillId="3" borderId="60" xfId="0" applyFont="1" applyFill="1" applyBorder="1" applyAlignment="1">
      <alignment/>
    </xf>
    <xf numFmtId="0" fontId="3" fillId="0" borderId="22" xfId="0" applyFont="1" applyFill="1" applyBorder="1" applyAlignment="1">
      <alignment/>
    </xf>
    <xf numFmtId="0" fontId="1" fillId="2" borderId="27" xfId="0" applyFont="1" applyFill="1" applyBorder="1" applyAlignment="1">
      <alignment horizontal="center"/>
    </xf>
    <xf numFmtId="0" fontId="1" fillId="2" borderId="27" xfId="0" applyFont="1" applyFill="1" applyBorder="1" applyAlignment="1">
      <alignment/>
    </xf>
    <xf numFmtId="0" fontId="1" fillId="2" borderId="65" xfId="0" applyFont="1" applyFill="1" applyBorder="1" applyAlignment="1">
      <alignment/>
    </xf>
    <xf numFmtId="0" fontId="1" fillId="0" borderId="50" xfId="0" applyFont="1" applyBorder="1" applyAlignment="1">
      <alignment horizontal="center"/>
    </xf>
    <xf numFmtId="0" fontId="1" fillId="0" borderId="51" xfId="0" applyFont="1" applyBorder="1" applyAlignment="1">
      <alignment horizontal="center"/>
    </xf>
    <xf numFmtId="0" fontId="1" fillId="3" borderId="66" xfId="0" applyFont="1" applyFill="1" applyBorder="1" applyAlignment="1">
      <alignment horizontal="center"/>
    </xf>
    <xf numFmtId="0" fontId="1" fillId="2" borderId="59" xfId="0" applyFont="1" applyFill="1" applyBorder="1" applyAlignment="1">
      <alignment/>
    </xf>
    <xf numFmtId="0" fontId="1" fillId="0" borderId="67" xfId="0" applyFont="1" applyBorder="1" applyAlignment="1">
      <alignment horizontal="center"/>
    </xf>
    <xf numFmtId="0" fontId="1" fillId="0" borderId="35" xfId="0" applyFont="1" applyBorder="1" applyAlignment="1">
      <alignment horizontal="center"/>
    </xf>
    <xf numFmtId="0" fontId="1" fillId="2" borderId="68" xfId="0" applyFont="1" applyFill="1" applyBorder="1" applyAlignment="1">
      <alignment horizontal="center"/>
    </xf>
    <xf numFmtId="0" fontId="1" fillId="2" borderId="69" xfId="0" applyFont="1" applyFill="1" applyBorder="1" applyAlignment="1">
      <alignment horizontal="center"/>
    </xf>
    <xf numFmtId="0" fontId="1" fillId="0" borderId="68" xfId="0" applyFont="1" applyBorder="1" applyAlignment="1">
      <alignment horizontal="center"/>
    </xf>
    <xf numFmtId="0" fontId="1" fillId="0" borderId="39" xfId="0" applyFont="1" applyBorder="1" applyAlignment="1">
      <alignment horizontal="center"/>
    </xf>
    <xf numFmtId="0" fontId="1" fillId="2" borderId="61" xfId="0" applyFont="1" applyFill="1" applyBorder="1" applyAlignment="1">
      <alignment horizontal="center"/>
    </xf>
    <xf numFmtId="0" fontId="1" fillId="2" borderId="39" xfId="0" applyFont="1" applyFill="1" applyBorder="1" applyAlignment="1">
      <alignment horizontal="center"/>
    </xf>
    <xf numFmtId="0" fontId="1" fillId="0" borderId="15" xfId="0" applyFont="1" applyBorder="1" applyAlignment="1">
      <alignment/>
    </xf>
    <xf numFmtId="1" fontId="1" fillId="0" borderId="1" xfId="0" applyNumberFormat="1" applyFont="1" applyBorder="1" applyAlignment="1">
      <alignment/>
    </xf>
    <xf numFmtId="1" fontId="1" fillId="0" borderId="2" xfId="0" applyNumberFormat="1" applyFont="1" applyBorder="1" applyAlignment="1">
      <alignment/>
    </xf>
    <xf numFmtId="0" fontId="1" fillId="0" borderId="4" xfId="0" applyFont="1" applyBorder="1" applyAlignment="1">
      <alignment/>
    </xf>
    <xf numFmtId="2" fontId="1" fillId="0" borderId="9" xfId="0" applyNumberFormat="1" applyFont="1" applyBorder="1" applyAlignment="1">
      <alignment/>
    </xf>
    <xf numFmtId="0" fontId="1" fillId="0" borderId="30" xfId="0" applyFont="1" applyBorder="1" applyAlignment="1">
      <alignment/>
    </xf>
    <xf numFmtId="0" fontId="1" fillId="0" borderId="32" xfId="0" applyFont="1" applyBorder="1" applyAlignment="1">
      <alignment/>
    </xf>
    <xf numFmtId="2" fontId="3" fillId="0" borderId="70" xfId="0" applyNumberFormat="1" applyFont="1" applyBorder="1" applyAlignment="1">
      <alignment/>
    </xf>
    <xf numFmtId="0" fontId="0" fillId="0" borderId="53" xfId="0" applyBorder="1" applyAlignment="1">
      <alignment/>
    </xf>
    <xf numFmtId="2" fontId="3" fillId="0" borderId="49" xfId="0" applyNumberFormat="1" applyFont="1" applyBorder="1" applyAlignment="1">
      <alignment/>
    </xf>
    <xf numFmtId="1" fontId="3" fillId="0" borderId="52" xfId="0" applyNumberFormat="1" applyFont="1" applyBorder="1" applyAlignment="1">
      <alignment/>
    </xf>
    <xf numFmtId="0" fontId="0" fillId="3" borderId="49" xfId="0" applyFill="1" applyBorder="1" applyAlignment="1">
      <alignment horizontal="right"/>
    </xf>
    <xf numFmtId="0" fontId="0" fillId="3" borderId="48" xfId="0" applyFill="1" applyBorder="1" applyAlignment="1">
      <alignment horizontal="right"/>
    </xf>
    <xf numFmtId="0" fontId="0" fillId="3" borderId="52" xfId="0" applyFill="1" applyBorder="1" applyAlignment="1">
      <alignment horizontal="right"/>
    </xf>
    <xf numFmtId="2" fontId="1" fillId="4" borderId="49" xfId="0" applyNumberFormat="1" applyFont="1" applyFill="1" applyBorder="1" applyAlignment="1">
      <alignment/>
    </xf>
    <xf numFmtId="2" fontId="1" fillId="3" borderId="71" xfId="0" applyNumberFormat="1" applyFont="1" applyFill="1" applyBorder="1" applyAlignment="1">
      <alignment/>
    </xf>
    <xf numFmtId="2" fontId="1" fillId="3" borderId="30" xfId="0" applyNumberFormat="1" applyFont="1" applyFill="1" applyBorder="1" applyAlignment="1">
      <alignment/>
    </xf>
    <xf numFmtId="2" fontId="1" fillId="3" borderId="33" xfId="0" applyNumberFormat="1" applyFont="1" applyFill="1" applyBorder="1" applyAlignment="1">
      <alignment/>
    </xf>
    <xf numFmtId="0" fontId="1" fillId="3" borderId="50" xfId="0" applyFont="1" applyFill="1" applyBorder="1" applyAlignment="1">
      <alignment/>
    </xf>
    <xf numFmtId="0" fontId="1" fillId="3" borderId="31" xfId="0" applyFont="1" applyFill="1" applyBorder="1" applyAlignment="1">
      <alignment/>
    </xf>
    <xf numFmtId="0" fontId="1" fillId="3" borderId="53" xfId="0" applyFont="1" applyFill="1" applyBorder="1" applyAlignment="1">
      <alignment/>
    </xf>
    <xf numFmtId="2" fontId="1" fillId="4" borderId="71" xfId="0" applyNumberFormat="1" applyFont="1" applyFill="1" applyBorder="1" applyAlignment="1">
      <alignment/>
    </xf>
    <xf numFmtId="2" fontId="1" fillId="4" borderId="30" xfId="0" applyNumberFormat="1" applyFont="1" applyFill="1" applyBorder="1" applyAlignment="1">
      <alignment/>
    </xf>
    <xf numFmtId="2" fontId="1" fillId="4" borderId="33" xfId="0" applyNumberFormat="1" applyFont="1" applyFill="1" applyBorder="1" applyAlignment="1">
      <alignment/>
    </xf>
    <xf numFmtId="2" fontId="1" fillId="4" borderId="51" xfId="0" applyNumberFormat="1" applyFont="1" applyFill="1" applyBorder="1" applyAlignment="1">
      <alignment/>
    </xf>
    <xf numFmtId="2" fontId="1" fillId="4" borderId="32" xfId="0" applyNumberFormat="1" applyFont="1" applyFill="1" applyBorder="1" applyAlignment="1">
      <alignment/>
    </xf>
    <xf numFmtId="2" fontId="1" fillId="4" borderId="34" xfId="0" applyNumberFormat="1" applyFont="1" applyFill="1" applyBorder="1" applyAlignment="1">
      <alignment/>
    </xf>
    <xf numFmtId="0" fontId="1" fillId="4" borderId="71" xfId="0" applyFont="1" applyFill="1" applyBorder="1" applyAlignment="1">
      <alignment/>
    </xf>
    <xf numFmtId="0" fontId="1" fillId="4" borderId="30" xfId="0" applyFont="1" applyFill="1" applyBorder="1" applyAlignment="1">
      <alignment/>
    </xf>
    <xf numFmtId="0" fontId="1" fillId="4" borderId="33" xfId="0" applyFont="1" applyFill="1" applyBorder="1" applyAlignment="1">
      <alignment/>
    </xf>
    <xf numFmtId="0" fontId="1" fillId="4" borderId="50" xfId="0" applyFont="1" applyFill="1" applyBorder="1" applyAlignment="1">
      <alignment/>
    </xf>
    <xf numFmtId="0" fontId="1" fillId="4" borderId="31" xfId="0" applyFont="1" applyFill="1" applyBorder="1" applyAlignment="1">
      <alignment/>
    </xf>
    <xf numFmtId="0" fontId="1" fillId="4" borderId="53" xfId="0" applyFont="1" applyFill="1" applyBorder="1" applyAlignment="1">
      <alignment/>
    </xf>
    <xf numFmtId="0" fontId="11" fillId="3" borderId="60" xfId="0" applyFont="1" applyFill="1" applyBorder="1" applyAlignment="1">
      <alignment/>
    </xf>
    <xf numFmtId="0" fontId="1" fillId="0" borderId="45" xfId="0" applyFont="1" applyBorder="1" applyAlignment="1">
      <alignment/>
    </xf>
    <xf numFmtId="0" fontId="1" fillId="4" borderId="60" xfId="0" applyFont="1" applyFill="1" applyBorder="1" applyAlignment="1">
      <alignment/>
    </xf>
    <xf numFmtId="0" fontId="3" fillId="3" borderId="49" xfId="0" applyFont="1" applyFill="1" applyBorder="1" applyAlignment="1">
      <alignment/>
    </xf>
    <xf numFmtId="0" fontId="1" fillId="3" borderId="48" xfId="0" applyFont="1" applyFill="1" applyBorder="1" applyAlignment="1">
      <alignment/>
    </xf>
    <xf numFmtId="0" fontId="1" fillId="3" borderId="52" xfId="0" applyFont="1" applyFill="1" applyBorder="1" applyAlignment="1">
      <alignment/>
    </xf>
    <xf numFmtId="2" fontId="1" fillId="3" borderId="50" xfId="0" applyNumberFormat="1" applyFont="1" applyFill="1" applyBorder="1" applyAlignment="1">
      <alignment/>
    </xf>
    <xf numFmtId="2" fontId="1" fillId="3" borderId="31" xfId="0" applyNumberFormat="1" applyFont="1" applyFill="1" applyBorder="1" applyAlignment="1">
      <alignment/>
    </xf>
    <xf numFmtId="2" fontId="1" fillId="3" borderId="53" xfId="0" applyNumberFormat="1" applyFont="1" applyFill="1" applyBorder="1" applyAlignment="1">
      <alignment/>
    </xf>
    <xf numFmtId="2" fontId="1" fillId="3" borderId="69" xfId="0" applyNumberFormat="1" applyFont="1" applyFill="1" applyBorder="1" applyAlignment="1">
      <alignment/>
    </xf>
    <xf numFmtId="2" fontId="1" fillId="3" borderId="42" xfId="0" applyNumberFormat="1" applyFont="1" applyFill="1" applyBorder="1" applyAlignment="1">
      <alignment/>
    </xf>
    <xf numFmtId="2" fontId="1" fillId="3" borderId="59" xfId="0" applyNumberFormat="1" applyFont="1" applyFill="1" applyBorder="1" applyAlignment="1">
      <alignment/>
    </xf>
    <xf numFmtId="2" fontId="3" fillId="3" borderId="51" xfId="0" applyNumberFormat="1" applyFont="1" applyFill="1" applyBorder="1" applyAlignment="1">
      <alignment/>
    </xf>
    <xf numFmtId="2" fontId="3" fillId="3" borderId="32" xfId="0" applyNumberFormat="1" applyFont="1" applyFill="1" applyBorder="1" applyAlignment="1">
      <alignment/>
    </xf>
    <xf numFmtId="2" fontId="3" fillId="3" borderId="34" xfId="0" applyNumberFormat="1" applyFont="1" applyFill="1" applyBorder="1" applyAlignment="1">
      <alignment/>
    </xf>
    <xf numFmtId="2" fontId="3" fillId="4" borderId="51" xfId="0" applyNumberFormat="1" applyFont="1" applyFill="1" applyBorder="1" applyAlignment="1">
      <alignment/>
    </xf>
    <xf numFmtId="2" fontId="3" fillId="4" borderId="32" xfId="0" applyNumberFormat="1" applyFont="1" applyFill="1" applyBorder="1" applyAlignment="1">
      <alignment/>
    </xf>
    <xf numFmtId="2" fontId="3" fillId="4" borderId="34" xfId="0" applyNumberFormat="1" applyFont="1" applyFill="1" applyBorder="1" applyAlignment="1">
      <alignment/>
    </xf>
    <xf numFmtId="0" fontId="13" fillId="2" borderId="0" xfId="0" applyFont="1" applyFill="1" applyAlignment="1">
      <alignment/>
    </xf>
    <xf numFmtId="0" fontId="1" fillId="0" borderId="48" xfId="0" applyFont="1" applyBorder="1" applyAlignment="1">
      <alignment/>
    </xf>
    <xf numFmtId="0" fontId="1" fillId="0" borderId="50" xfId="0" applyFont="1" applyBorder="1" applyAlignment="1">
      <alignment/>
    </xf>
    <xf numFmtId="0" fontId="1" fillId="0" borderId="51" xfId="0" applyFont="1" applyBorder="1" applyAlignment="1">
      <alignment/>
    </xf>
    <xf numFmtId="0" fontId="1" fillId="2" borderId="53" xfId="0" applyFont="1" applyFill="1" applyBorder="1" applyAlignment="1">
      <alignment/>
    </xf>
    <xf numFmtId="2" fontId="1" fillId="2" borderId="53" xfId="0" applyNumberFormat="1" applyFont="1" applyFill="1" applyBorder="1" applyAlignment="1">
      <alignment/>
    </xf>
    <xf numFmtId="0" fontId="1" fillId="3" borderId="14" xfId="0" applyFont="1" applyFill="1" applyBorder="1" applyAlignment="1">
      <alignment horizontal="left"/>
    </xf>
    <xf numFmtId="0" fontId="1" fillId="3" borderId="5" xfId="0" applyFont="1" applyFill="1" applyBorder="1" applyAlignment="1">
      <alignment horizontal="left"/>
    </xf>
    <xf numFmtId="0" fontId="5" fillId="3" borderId="7" xfId="0" applyFont="1" applyFill="1" applyBorder="1" applyAlignment="1">
      <alignment/>
    </xf>
    <xf numFmtId="0" fontId="0" fillId="4" borderId="9" xfId="0" applyFill="1" applyBorder="1" applyAlignment="1">
      <alignment/>
    </xf>
    <xf numFmtId="0" fontId="0" fillId="3" borderId="14" xfId="0" applyFill="1" applyBorder="1" applyAlignment="1">
      <alignment/>
    </xf>
    <xf numFmtId="0" fontId="1" fillId="3" borderId="16" xfId="0" applyFont="1" applyFill="1" applyBorder="1" applyAlignment="1">
      <alignment/>
    </xf>
    <xf numFmtId="0" fontId="5" fillId="3" borderId="13" xfId="0" applyFont="1" applyFill="1" applyBorder="1" applyAlignment="1">
      <alignment/>
    </xf>
    <xf numFmtId="0" fontId="1" fillId="3" borderId="66" xfId="0" applyFont="1" applyFill="1" applyBorder="1" applyAlignment="1">
      <alignment/>
    </xf>
    <xf numFmtId="0" fontId="0" fillId="3" borderId="41" xfId="0" applyFill="1" applyBorder="1" applyAlignment="1">
      <alignment/>
    </xf>
    <xf numFmtId="0" fontId="1" fillId="3" borderId="72" xfId="0" applyFont="1" applyFill="1" applyBorder="1" applyAlignment="1">
      <alignment/>
    </xf>
    <xf numFmtId="0" fontId="1" fillId="3" borderId="18" xfId="0" applyFont="1" applyFill="1" applyBorder="1" applyAlignment="1">
      <alignment/>
    </xf>
    <xf numFmtId="0" fontId="0" fillId="4" borderId="33" xfId="0" applyFill="1" applyBorder="1" applyAlignment="1">
      <alignment/>
    </xf>
    <xf numFmtId="0" fontId="1" fillId="4" borderId="59" xfId="0" applyFont="1" applyFill="1" applyBorder="1" applyAlignment="1">
      <alignment/>
    </xf>
    <xf numFmtId="0" fontId="0" fillId="4" borderId="73" xfId="0" applyFill="1" applyBorder="1" applyAlignment="1">
      <alignment/>
    </xf>
    <xf numFmtId="0" fontId="0" fillId="4" borderId="6" xfId="0" applyFill="1" applyBorder="1" applyAlignment="1">
      <alignment/>
    </xf>
    <xf numFmtId="0" fontId="1" fillId="3" borderId="12" xfId="0" applyFont="1" applyFill="1" applyBorder="1" applyAlignment="1">
      <alignment horizontal="center"/>
    </xf>
    <xf numFmtId="0" fontId="1" fillId="3" borderId="11" xfId="0" applyFont="1" applyFill="1" applyBorder="1" applyAlignment="1">
      <alignment horizontal="center"/>
    </xf>
    <xf numFmtId="0" fontId="1" fillId="3" borderId="10" xfId="0" applyFont="1" applyFill="1" applyBorder="1" applyAlignment="1">
      <alignment horizontal="center"/>
    </xf>
    <xf numFmtId="0" fontId="0" fillId="3" borderId="67" xfId="0" applyFill="1" applyBorder="1" applyAlignment="1">
      <alignment/>
    </xf>
    <xf numFmtId="0" fontId="0" fillId="3" borderId="36" xfId="0" applyFill="1" applyBorder="1" applyAlignment="1">
      <alignment/>
    </xf>
    <xf numFmtId="0" fontId="0" fillId="3" borderId="68" xfId="0" applyFill="1" applyBorder="1" applyAlignment="1">
      <alignment/>
    </xf>
    <xf numFmtId="0" fontId="0" fillId="3" borderId="43" xfId="0" applyFill="1" applyBorder="1" applyAlignment="1">
      <alignment/>
    </xf>
    <xf numFmtId="0" fontId="14" fillId="2" borderId="0" xfId="0" applyFont="1" applyFill="1" applyAlignment="1">
      <alignment/>
    </xf>
    <xf numFmtId="0" fontId="3" fillId="0" borderId="0" xfId="0" applyFont="1" applyAlignment="1">
      <alignment/>
    </xf>
    <xf numFmtId="0" fontId="0" fillId="2" borderId="0" xfId="0" applyFill="1" applyAlignment="1">
      <alignment/>
    </xf>
    <xf numFmtId="0" fontId="0" fillId="2" borderId="1" xfId="0" applyFill="1" applyBorder="1" applyAlignment="1">
      <alignment/>
    </xf>
    <xf numFmtId="0" fontId="0" fillId="2" borderId="17" xfId="0" applyFill="1" applyBorder="1" applyAlignment="1">
      <alignment/>
    </xf>
    <xf numFmtId="0" fontId="0" fillId="2" borderId="6" xfId="0" applyFill="1" applyBorder="1" applyAlignment="1">
      <alignment/>
    </xf>
    <xf numFmtId="0" fontId="0" fillId="2" borderId="2" xfId="0" applyFill="1" applyBorder="1" applyAlignment="1">
      <alignment/>
    </xf>
    <xf numFmtId="0" fontId="0" fillId="2" borderId="18" xfId="0" applyFill="1" applyBorder="1" applyAlignment="1">
      <alignment/>
    </xf>
    <xf numFmtId="0" fontId="0" fillId="2" borderId="8" xfId="0" applyFill="1" applyBorder="1" applyAlignment="1">
      <alignment/>
    </xf>
    <xf numFmtId="0" fontId="0" fillId="2" borderId="9" xfId="0" applyFill="1" applyBorder="1" applyAlignment="1">
      <alignment/>
    </xf>
    <xf numFmtId="177" fontId="1" fillId="2" borderId="17" xfId="0" applyNumberFormat="1" applyFont="1" applyFill="1" applyBorder="1" applyAlignment="1">
      <alignment/>
    </xf>
    <xf numFmtId="177" fontId="1" fillId="2" borderId="6" xfId="0" applyNumberFormat="1" applyFont="1" applyFill="1" applyBorder="1" applyAlignment="1">
      <alignment/>
    </xf>
    <xf numFmtId="177" fontId="1" fillId="2" borderId="18" xfId="0" applyNumberFormat="1" applyFont="1" applyFill="1" applyBorder="1" applyAlignment="1">
      <alignment/>
    </xf>
    <xf numFmtId="177" fontId="1" fillId="2" borderId="9" xfId="0" applyNumberFormat="1" applyFont="1" applyFill="1" applyBorder="1" applyAlignment="1">
      <alignment/>
    </xf>
    <xf numFmtId="0" fontId="0" fillId="2" borderId="31" xfId="0" applyFill="1" applyBorder="1" applyAlignment="1">
      <alignment/>
    </xf>
    <xf numFmtId="1" fontId="0" fillId="2" borderId="53" xfId="0" applyNumberFormat="1" applyFill="1" applyBorder="1" applyAlignment="1">
      <alignment/>
    </xf>
    <xf numFmtId="178" fontId="0" fillId="2" borderId="53" xfId="0" applyNumberFormat="1" applyFill="1" applyBorder="1" applyAlignment="1">
      <alignment/>
    </xf>
    <xf numFmtId="0" fontId="0" fillId="2" borderId="56" xfId="0" applyFill="1" applyBorder="1" applyAlignment="1">
      <alignment/>
    </xf>
    <xf numFmtId="0" fontId="0" fillId="2" borderId="54" xfId="0" applyFill="1" applyBorder="1" applyAlignment="1">
      <alignment/>
    </xf>
    <xf numFmtId="0" fontId="0" fillId="2" borderId="55" xfId="0" applyFill="1" applyBorder="1" applyAlignment="1">
      <alignment/>
    </xf>
    <xf numFmtId="0" fontId="0" fillId="2" borderId="73" xfId="0" applyFill="1" applyBorder="1" applyAlignment="1">
      <alignment/>
    </xf>
    <xf numFmtId="0" fontId="0" fillId="2" borderId="58" xfId="0" applyFill="1" applyBorder="1" applyAlignment="1">
      <alignment/>
    </xf>
    <xf numFmtId="0" fontId="0" fillId="2" borderId="42" xfId="0" applyFill="1" applyBorder="1" applyAlignment="1">
      <alignment/>
    </xf>
    <xf numFmtId="0" fontId="0" fillId="2" borderId="57" xfId="0" applyFill="1" applyBorder="1" applyAlignment="1">
      <alignment/>
    </xf>
    <xf numFmtId="179" fontId="0" fillId="2" borderId="59" xfId="0" applyNumberFormat="1" applyFill="1" applyBorder="1" applyAlignment="1">
      <alignment/>
    </xf>
    <xf numFmtId="178" fontId="0" fillId="2" borderId="59" xfId="0" applyNumberFormat="1" applyFill="1" applyBorder="1" applyAlignment="1">
      <alignment/>
    </xf>
    <xf numFmtId="0" fontId="1" fillId="0" borderId="65" xfId="0" applyFont="1" applyBorder="1" applyAlignment="1">
      <alignment horizontal="center"/>
    </xf>
    <xf numFmtId="0" fontId="1" fillId="0" borderId="21" xfId="0" applyFont="1" applyBorder="1" applyAlignment="1">
      <alignment horizontal="center"/>
    </xf>
    <xf numFmtId="0" fontId="1" fillId="0" borderId="38" xfId="0" applyFont="1" applyBorder="1" applyAlignment="1">
      <alignment horizontal="center"/>
    </xf>
    <xf numFmtId="0" fontId="1" fillId="2" borderId="26" xfId="0" applyFont="1" applyFill="1" applyBorder="1" applyAlignment="1">
      <alignment horizontal="center"/>
    </xf>
    <xf numFmtId="0" fontId="1" fillId="2" borderId="38" xfId="0" applyFont="1" applyFill="1" applyBorder="1" applyAlignment="1">
      <alignment horizontal="center"/>
    </xf>
    <xf numFmtId="0" fontId="1" fillId="0" borderId="22" xfId="0" applyFont="1" applyBorder="1" applyAlignment="1">
      <alignment horizontal="center"/>
    </xf>
    <xf numFmtId="0" fontId="1" fillId="2" borderId="66" xfId="0" applyFont="1" applyFill="1" applyBorder="1" applyAlignment="1">
      <alignment horizontal="center"/>
    </xf>
    <xf numFmtId="0" fontId="1" fillId="2" borderId="65" xfId="0" applyFont="1" applyFill="1" applyBorder="1" applyAlignment="1">
      <alignment horizontal="center"/>
    </xf>
    <xf numFmtId="0" fontId="1" fillId="0" borderId="36" xfId="0" applyFont="1" applyBorder="1" applyAlignment="1">
      <alignment horizontal="center"/>
    </xf>
    <xf numFmtId="0" fontId="1" fillId="2" borderId="63" xfId="0" applyFont="1" applyFill="1" applyBorder="1" applyAlignment="1">
      <alignment horizontal="center"/>
    </xf>
    <xf numFmtId="0" fontId="1" fillId="2" borderId="43" xfId="0" applyFont="1" applyFill="1" applyBorder="1" applyAlignment="1">
      <alignment horizontal="center"/>
    </xf>
    <xf numFmtId="0" fontId="3" fillId="0" borderId="49" xfId="0" applyFont="1" applyBorder="1" applyAlignment="1">
      <alignment/>
    </xf>
    <xf numFmtId="0" fontId="3" fillId="0" borderId="67" xfId="0" applyFont="1" applyBorder="1" applyAlignment="1">
      <alignment/>
    </xf>
    <xf numFmtId="0" fontId="15" fillId="0" borderId="0" xfId="0" applyFont="1" applyAlignment="1">
      <alignment/>
    </xf>
    <xf numFmtId="0" fontId="1" fillId="0" borderId="74" xfId="0" applyFont="1" applyBorder="1" applyAlignment="1">
      <alignment horizontal="center"/>
    </xf>
    <xf numFmtId="0" fontId="0" fillId="3" borderId="12" xfId="0" applyFill="1" applyBorder="1" applyAlignment="1">
      <alignment/>
    </xf>
    <xf numFmtId="0" fontId="0" fillId="3" borderId="11" xfId="0" applyFill="1" applyBorder="1" applyAlignment="1">
      <alignment/>
    </xf>
    <xf numFmtId="0" fontId="0" fillId="0" borderId="60" xfId="0" applyFill="1" applyBorder="1" applyAlignment="1">
      <alignment/>
    </xf>
    <xf numFmtId="0" fontId="0" fillId="2" borderId="46" xfId="0" applyFill="1" applyBorder="1" applyAlignment="1">
      <alignment/>
    </xf>
    <xf numFmtId="0" fontId="1" fillId="0" borderId="71" xfId="0" applyFont="1" applyBorder="1" applyAlignment="1">
      <alignment/>
    </xf>
    <xf numFmtId="0" fontId="1" fillId="0" borderId="30" xfId="0" applyFont="1" applyBorder="1" applyAlignment="1">
      <alignment horizontal="center"/>
    </xf>
    <xf numFmtId="0" fontId="1" fillId="2" borderId="33" xfId="0" applyFont="1" applyFill="1" applyBorder="1" applyAlignment="1">
      <alignment/>
    </xf>
    <xf numFmtId="0" fontId="1" fillId="2" borderId="34" xfId="0" applyFont="1" applyFill="1" applyBorder="1" applyAlignment="1">
      <alignment/>
    </xf>
    <xf numFmtId="0" fontId="1" fillId="0" borderId="71" xfId="0" applyFont="1" applyFill="1" applyBorder="1" applyAlignment="1">
      <alignment/>
    </xf>
    <xf numFmtId="0" fontId="1" fillId="0" borderId="33" xfId="0" applyFont="1" applyFill="1" applyBorder="1" applyAlignment="1">
      <alignment/>
    </xf>
    <xf numFmtId="0" fontId="1" fillId="0" borderId="50" xfId="0" applyFont="1" applyFill="1" applyBorder="1" applyAlignment="1">
      <alignment/>
    </xf>
    <xf numFmtId="0" fontId="1" fillId="0" borderId="53" xfId="0" applyFont="1" applyFill="1" applyBorder="1" applyAlignment="1">
      <alignment/>
    </xf>
    <xf numFmtId="0" fontId="1" fillId="0" borderId="51" xfId="0" applyFont="1" applyFill="1" applyBorder="1" applyAlignment="1">
      <alignment/>
    </xf>
    <xf numFmtId="0" fontId="1" fillId="0" borderId="34" xfId="0" applyFont="1" applyFill="1" applyBorder="1" applyAlignment="1">
      <alignment/>
    </xf>
    <xf numFmtId="0" fontId="1" fillId="2" borderId="43" xfId="0" applyFont="1" applyFill="1" applyBorder="1" applyAlignment="1">
      <alignment/>
    </xf>
    <xf numFmtId="0" fontId="0" fillId="3" borderId="60" xfId="0" applyFill="1" applyBorder="1" applyAlignment="1">
      <alignment/>
    </xf>
    <xf numFmtId="0" fontId="1" fillId="2" borderId="75" xfId="0" applyFont="1" applyFill="1" applyBorder="1" applyAlignment="1">
      <alignment horizontal="center"/>
    </xf>
    <xf numFmtId="0" fontId="1" fillId="2" borderId="17" xfId="0" applyFont="1" applyFill="1" applyBorder="1" applyAlignment="1">
      <alignment horizontal="center"/>
    </xf>
    <xf numFmtId="0" fontId="1" fillId="2" borderId="72" xfId="0" applyFont="1" applyFill="1" applyBorder="1" applyAlignment="1">
      <alignment horizontal="center"/>
    </xf>
    <xf numFmtId="0" fontId="1" fillId="2" borderId="73" xfId="0" applyFont="1" applyFill="1" applyBorder="1" applyAlignment="1">
      <alignment horizontal="center"/>
    </xf>
    <xf numFmtId="0" fontId="1" fillId="0" borderId="55" xfId="0" applyFont="1" applyFill="1" applyBorder="1" applyAlignment="1">
      <alignment horizontal="center"/>
    </xf>
    <xf numFmtId="0" fontId="1" fillId="2" borderId="18" xfId="0" applyFont="1" applyFill="1" applyBorder="1" applyAlignment="1">
      <alignment horizontal="center"/>
    </xf>
    <xf numFmtId="0" fontId="1" fillId="0" borderId="47" xfId="0" applyFont="1" applyBorder="1" applyAlignment="1">
      <alignment/>
    </xf>
    <xf numFmtId="0" fontId="1" fillId="0" borderId="76" xfId="0" applyFont="1" applyBorder="1" applyAlignment="1">
      <alignment/>
    </xf>
    <xf numFmtId="0" fontId="1" fillId="0" borderId="77" xfId="0" applyFont="1" applyBorder="1" applyAlignment="1">
      <alignment/>
    </xf>
    <xf numFmtId="0" fontId="1" fillId="0" borderId="25" xfId="0" applyFont="1" applyBorder="1" applyAlignment="1">
      <alignment/>
    </xf>
    <xf numFmtId="0" fontId="1" fillId="0" borderId="37" xfId="0" applyFont="1" applyBorder="1" applyAlignment="1">
      <alignment/>
    </xf>
    <xf numFmtId="176" fontId="0" fillId="2" borderId="45" xfId="0" applyNumberFormat="1" applyFill="1" applyBorder="1" applyAlignment="1">
      <alignment/>
    </xf>
    <xf numFmtId="176" fontId="0" fillId="2" borderId="46" xfId="0" applyNumberFormat="1" applyFill="1" applyBorder="1" applyAlignment="1">
      <alignment/>
    </xf>
    <xf numFmtId="0" fontId="0" fillId="0" borderId="48" xfId="0" applyFill="1" applyBorder="1" applyAlignment="1">
      <alignment/>
    </xf>
    <xf numFmtId="0" fontId="0" fillId="0" borderId="71" xfId="0" applyBorder="1" applyAlignment="1">
      <alignment/>
    </xf>
    <xf numFmtId="0" fontId="0" fillId="2" borderId="30" xfId="0" applyFill="1" applyBorder="1" applyAlignment="1">
      <alignment/>
    </xf>
    <xf numFmtId="0" fontId="0" fillId="5" borderId="61" xfId="0" applyFill="1" applyBorder="1" applyAlignment="1">
      <alignment/>
    </xf>
    <xf numFmtId="0" fontId="0" fillId="2" borderId="44" xfId="0" applyFill="1" applyBorder="1" applyAlignment="1">
      <alignment/>
    </xf>
    <xf numFmtId="176" fontId="0" fillId="2" borderId="44" xfId="0" applyNumberFormat="1" applyFill="1" applyBorder="1" applyAlignment="1">
      <alignment/>
    </xf>
    <xf numFmtId="2" fontId="0" fillId="2" borderId="44" xfId="0" applyNumberFormat="1" applyFill="1" applyBorder="1" applyAlignment="1">
      <alignment/>
    </xf>
    <xf numFmtId="2" fontId="0" fillId="2" borderId="45" xfId="0" applyNumberFormat="1" applyFill="1" applyBorder="1" applyAlignment="1">
      <alignment/>
    </xf>
    <xf numFmtId="2" fontId="0" fillId="2" borderId="46" xfId="0" applyNumberFormat="1" applyFill="1" applyBorder="1" applyAlignment="1">
      <alignment/>
    </xf>
    <xf numFmtId="2" fontId="0" fillId="0" borderId="44" xfId="0" applyNumberFormat="1" applyFill="1" applyBorder="1" applyAlignment="1">
      <alignment/>
    </xf>
    <xf numFmtId="2" fontId="0" fillId="0" borderId="45" xfId="0" applyNumberFormat="1" applyFill="1" applyBorder="1" applyAlignment="1">
      <alignment/>
    </xf>
    <xf numFmtId="2" fontId="0" fillId="0" borderId="46" xfId="0" applyNumberFormat="1" applyFill="1" applyBorder="1" applyAlignment="1">
      <alignment/>
    </xf>
    <xf numFmtId="2" fontId="0" fillId="0" borderId="44" xfId="0" applyNumberFormat="1" applyBorder="1" applyAlignment="1">
      <alignment/>
    </xf>
    <xf numFmtId="0" fontId="0" fillId="0" borderId="45" xfId="0" applyFill="1" applyBorder="1" applyAlignment="1">
      <alignment/>
    </xf>
    <xf numFmtId="0" fontId="0" fillId="0" borderId="46" xfId="0" applyFill="1" applyBorder="1" applyAlignment="1">
      <alignment/>
    </xf>
    <xf numFmtId="0" fontId="11" fillId="3" borderId="0" xfId="0" applyFont="1" applyFill="1" applyAlignment="1">
      <alignment/>
    </xf>
    <xf numFmtId="0" fontId="0" fillId="3" borderId="0" xfId="0" applyFill="1" applyAlignment="1">
      <alignment/>
    </xf>
    <xf numFmtId="0" fontId="11" fillId="3" borderId="61" xfId="0" applyFont="1" applyFill="1" applyBorder="1" applyAlignment="1">
      <alignment/>
    </xf>
    <xf numFmtId="0" fontId="11" fillId="0" borderId="0" xfId="0" applyFont="1" applyAlignment="1">
      <alignment/>
    </xf>
    <xf numFmtId="192" fontId="11" fillId="0" borderId="0" xfId="0" applyNumberFormat="1" applyFont="1" applyAlignment="1">
      <alignment/>
    </xf>
    <xf numFmtId="0" fontId="16" fillId="0" borderId="0" xfId="0" applyFont="1" applyAlignment="1">
      <alignment/>
    </xf>
    <xf numFmtId="3" fontId="0" fillId="0" borderId="0" xfId="0" applyNumberFormat="1" applyAlignment="1">
      <alignment/>
    </xf>
    <xf numFmtId="0" fontId="0" fillId="0" borderId="0" xfId="0" applyFont="1" applyAlignment="1">
      <alignment/>
    </xf>
    <xf numFmtId="0" fontId="0" fillId="0" borderId="10" xfId="0" applyFont="1" applyBorder="1" applyAlignment="1">
      <alignment/>
    </xf>
    <xf numFmtId="0" fontId="0" fillId="0" borderId="60" xfId="0" applyFont="1" applyBorder="1" applyAlignment="1">
      <alignment/>
    </xf>
    <xf numFmtId="0" fontId="0" fillId="7" borderId="0" xfId="0" applyFill="1" applyAlignment="1">
      <alignment/>
    </xf>
    <xf numFmtId="0" fontId="11" fillId="7" borderId="0" xfId="0" applyFont="1" applyFill="1" applyAlignment="1">
      <alignment/>
    </xf>
    <xf numFmtId="3" fontId="0" fillId="5" borderId="0" xfId="0" applyNumberFormat="1" applyFill="1" applyAlignment="1">
      <alignment/>
    </xf>
    <xf numFmtId="0" fontId="0" fillId="8" borderId="0" xfId="0" applyFill="1" applyAlignment="1">
      <alignment/>
    </xf>
    <xf numFmtId="3" fontId="0" fillId="8" borderId="0" xfId="0" applyNumberFormat="1" applyFill="1" applyAlignment="1">
      <alignment/>
    </xf>
    <xf numFmtId="10" fontId="0" fillId="7" borderId="0" xfId="0" applyNumberFormat="1" applyFill="1" applyAlignment="1">
      <alignment/>
    </xf>
    <xf numFmtId="0" fontId="0" fillId="8" borderId="0" xfId="0" applyFont="1" applyFill="1" applyAlignment="1">
      <alignment/>
    </xf>
    <xf numFmtId="3" fontId="0" fillId="7" borderId="0" xfId="0" applyNumberFormat="1" applyFill="1" applyAlignment="1">
      <alignment/>
    </xf>
    <xf numFmtId="0" fontId="1" fillId="8" borderId="52" xfId="0" applyFont="1" applyFill="1" applyBorder="1" applyAlignment="1">
      <alignment/>
    </xf>
    <xf numFmtId="0" fontId="1" fillId="8" borderId="53" xfId="0" applyFont="1" applyFill="1" applyBorder="1" applyAlignment="1">
      <alignment horizontal="center"/>
    </xf>
    <xf numFmtId="0" fontId="1" fillId="8" borderId="34" xfId="0" applyFont="1" applyFill="1" applyBorder="1" applyAlignment="1">
      <alignment horizontal="center"/>
    </xf>
    <xf numFmtId="2" fontId="0" fillId="7" borderId="0" xfId="0" applyNumberForma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 Metal Layers Vs. Die Cost (2 Poly, 25 Mask )</a:t>
            </a:r>
          </a:p>
        </c:rich>
      </c:tx>
      <c:layout/>
      <c:spPr>
        <a:noFill/>
        <a:ln>
          <a:noFill/>
        </a:ln>
      </c:spPr>
    </c:title>
    <c:plotArea>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'Input Drivers'!$C$38:$H$38</c:f>
            </c:numRef>
          </c:xVal>
          <c:yVal>
            <c:numRef>
              <c:f>'Input Drivers'!$C$39:$H$39</c:f>
            </c:numRef>
          </c:yVal>
          <c:smooth val="1"/>
        </c:ser>
        <c:axId val="60582250"/>
        <c:axId val="8369339"/>
      </c:scatterChart>
      <c:valAx>
        <c:axId val="60582250"/>
        <c:scaling>
          <c:orientation val="minMax"/>
        </c:scaling>
        <c:axPos val="b"/>
        <c:delete val="0"/>
        <c:numFmt formatCode="General" sourceLinked="1"/>
        <c:majorTickMark val="out"/>
        <c:minorTickMark val="none"/>
        <c:tickLblPos val="nextTo"/>
        <c:crossAx val="8369339"/>
        <c:crossesAt val="0.008"/>
        <c:crossBetween val="midCat"/>
        <c:dispUnits/>
      </c:valAx>
      <c:valAx>
        <c:axId val="8369339"/>
        <c:scaling>
          <c:orientation val="minMax"/>
          <c:min val="0.008"/>
        </c:scaling>
        <c:axPos val="l"/>
        <c:delete val="0"/>
        <c:numFmt formatCode="General" sourceLinked="1"/>
        <c:majorTickMark val="out"/>
        <c:minorTickMark val="none"/>
        <c:tickLblPos val="nextTo"/>
        <c:crossAx val="60582250"/>
        <c:crossesAt val="1"/>
        <c:crossBetween val="midCat"/>
        <c:dispUnits/>
      </c:valAx>
      <c:spPr>
        <a:no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 Poly Layers Vs. Die Cost (25 Mask, 5 Metal)</a:t>
            </a:r>
          </a:p>
        </c:rich>
      </c:tx>
      <c:layout/>
      <c:spPr>
        <a:noFill/>
        <a:ln>
          <a:noFill/>
        </a:ln>
      </c:spPr>
    </c:title>
    <c:plotArea>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'Input Drivers'!$B$39:$B$43</c:f>
            </c:numRef>
          </c:xVal>
          <c:yVal>
            <c:numRef>
              <c:f>'Input Drivers'!$G$39:$G$43</c:f>
            </c:numRef>
          </c:yVal>
          <c:smooth val="1"/>
        </c:ser>
        <c:axId val="8215188"/>
        <c:axId val="6827829"/>
      </c:scatterChart>
      <c:valAx>
        <c:axId val="8215188"/>
        <c:scaling>
          <c:orientation val="minMax"/>
        </c:scaling>
        <c:axPos val="b"/>
        <c:delete val="0"/>
        <c:numFmt formatCode="General" sourceLinked="1"/>
        <c:majorTickMark val="out"/>
        <c:minorTickMark val="none"/>
        <c:tickLblPos val="nextTo"/>
        <c:crossAx val="6827829"/>
        <c:crossesAt val="0.013"/>
        <c:crossBetween val="midCat"/>
        <c:dispUnits/>
      </c:valAx>
      <c:valAx>
        <c:axId val="6827829"/>
        <c:scaling>
          <c:orientation val="minMax"/>
          <c:max val="0.015"/>
          <c:min val="0.013"/>
        </c:scaling>
        <c:axPos val="l"/>
        <c:delete val="0"/>
        <c:numFmt formatCode="General" sourceLinked="1"/>
        <c:majorTickMark val="out"/>
        <c:minorTickMark val="none"/>
        <c:tickLblPos val="nextTo"/>
        <c:crossAx val="8215188"/>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 Mask Layers Vs. Die Cost (1 Metal, 1 Poly)</a:t>
            </a:r>
          </a:p>
        </c:rich>
      </c:tx>
      <c:layout/>
      <c:spPr>
        <a:noFill/>
        <a:ln>
          <a:noFill/>
        </a:ln>
      </c:spPr>
    </c:title>
    <c:plotArea>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'Input Drivers'!$B$28:$B$33</c:f>
            </c:numRef>
          </c:xVal>
          <c:yVal>
            <c:numRef>
              <c:f>'Input Drivers'!$C$28:$C$33</c:f>
            </c:numRef>
          </c:yVal>
          <c:smooth val="1"/>
        </c:ser>
        <c:axId val="61450462"/>
        <c:axId val="16183247"/>
      </c:scatterChart>
      <c:valAx>
        <c:axId val="61450462"/>
        <c:scaling>
          <c:orientation val="minMax"/>
        </c:scaling>
        <c:axPos val="b"/>
        <c:delete val="0"/>
        <c:numFmt formatCode="General" sourceLinked="1"/>
        <c:majorTickMark val="out"/>
        <c:minorTickMark val="none"/>
        <c:tickLblPos val="nextTo"/>
        <c:crossAx val="16183247"/>
        <c:crossesAt val="0.006"/>
        <c:crossBetween val="midCat"/>
        <c:dispUnits/>
      </c:valAx>
      <c:valAx>
        <c:axId val="16183247"/>
        <c:scaling>
          <c:orientation val="minMax"/>
          <c:max val="0.0094"/>
          <c:min val="0.006"/>
        </c:scaling>
        <c:axPos val="l"/>
        <c:delete val="0"/>
        <c:numFmt formatCode="General" sourceLinked="1"/>
        <c:majorTickMark val="out"/>
        <c:minorTickMark val="none"/>
        <c:tickLblPos val="nextTo"/>
        <c:crossAx val="61450462"/>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838200</xdr:colOff>
      <xdr:row>6</xdr:row>
      <xdr:rowOff>47625</xdr:rowOff>
    </xdr:from>
    <xdr:to>
      <xdr:col>7</xdr:col>
      <xdr:colOff>95250</xdr:colOff>
      <xdr:row>9</xdr:row>
      <xdr:rowOff>66675</xdr:rowOff>
    </xdr:to>
    <xdr:sp macro="[0]!CreateNewProcess">
      <xdr:nvSpPr>
        <xdr:cNvPr id="1" name="Rectangle 6"/>
        <xdr:cNvSpPr>
          <a:spLocks/>
        </xdr:cNvSpPr>
      </xdr:nvSpPr>
      <xdr:spPr>
        <a:xfrm>
          <a:off x="4876800" y="1019175"/>
          <a:ext cx="1543050" cy="504825"/>
        </a:xfrm>
        <a:prstGeom prst="rect">
          <a:avLst/>
        </a:prstGeom>
        <a:solidFill>
          <a:srgbClr val="00FF00"/>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
Recalculate</a:t>
          </a:r>
        </a:p>
      </xdr:txBody>
    </xdr:sp>
    <xdr:clientData/>
  </xdr:twoCellAnchor>
  <xdr:twoCellAnchor>
    <xdr:from>
      <xdr:col>4</xdr:col>
      <xdr:colOff>847725</xdr:colOff>
      <xdr:row>10</xdr:row>
      <xdr:rowOff>0</xdr:rowOff>
    </xdr:from>
    <xdr:to>
      <xdr:col>7</xdr:col>
      <xdr:colOff>76200</xdr:colOff>
      <xdr:row>13</xdr:row>
      <xdr:rowOff>142875</xdr:rowOff>
    </xdr:to>
    <xdr:sp macro="[0]!ClearNewProcess">
      <xdr:nvSpPr>
        <xdr:cNvPr id="2" name="Rectangle 7"/>
        <xdr:cNvSpPr>
          <a:spLocks/>
        </xdr:cNvSpPr>
      </xdr:nvSpPr>
      <xdr:spPr>
        <a:xfrm>
          <a:off x="4886325" y="1619250"/>
          <a:ext cx="1514475" cy="628650"/>
        </a:xfrm>
        <a:prstGeom prst="rect">
          <a:avLst/>
        </a:prstGeom>
        <a:solidFill>
          <a:srgbClr val="FF9900"/>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
Clear</a:t>
          </a:r>
        </a:p>
      </xdr:txBody>
    </xdr:sp>
    <xdr:clientData/>
  </xdr:twoCellAnchor>
  <xdr:twoCellAnchor>
    <xdr:from>
      <xdr:col>10</xdr:col>
      <xdr:colOff>381000</xdr:colOff>
      <xdr:row>22</xdr:row>
      <xdr:rowOff>0</xdr:rowOff>
    </xdr:from>
    <xdr:to>
      <xdr:col>20</xdr:col>
      <xdr:colOff>114300</xdr:colOff>
      <xdr:row>47</xdr:row>
      <xdr:rowOff>38100</xdr:rowOff>
    </xdr:to>
    <xdr:graphicFrame>
      <xdr:nvGraphicFramePr>
        <xdr:cNvPr id="3" name="Chart 14"/>
        <xdr:cNvGraphicFramePr/>
      </xdr:nvGraphicFramePr>
      <xdr:xfrm>
        <a:off x="8534400" y="3562350"/>
        <a:ext cx="5895975" cy="1619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49</xdr:row>
      <xdr:rowOff>0</xdr:rowOff>
    </xdr:from>
    <xdr:to>
      <xdr:col>19</xdr:col>
      <xdr:colOff>352425</xdr:colOff>
      <xdr:row>74</xdr:row>
      <xdr:rowOff>47625</xdr:rowOff>
    </xdr:to>
    <xdr:graphicFrame>
      <xdr:nvGraphicFramePr>
        <xdr:cNvPr id="4" name="Chart 16"/>
        <xdr:cNvGraphicFramePr/>
      </xdr:nvGraphicFramePr>
      <xdr:xfrm>
        <a:off x="8153400" y="3724275"/>
        <a:ext cx="5905500" cy="0"/>
      </xdr:xfrm>
      <a:graphic>
        <a:graphicData uri="http://schemas.openxmlformats.org/drawingml/2006/chart">
          <c:chart xmlns:c="http://schemas.openxmlformats.org/drawingml/2006/chart" r:id="rId2"/>
        </a:graphicData>
      </a:graphic>
    </xdr:graphicFrame>
    <xdr:clientData/>
  </xdr:twoCellAnchor>
  <xdr:twoCellAnchor>
    <xdr:from>
      <xdr:col>1</xdr:col>
      <xdr:colOff>352425</xdr:colOff>
      <xdr:row>48</xdr:row>
      <xdr:rowOff>123825</xdr:rowOff>
    </xdr:from>
    <xdr:to>
      <xdr:col>8</xdr:col>
      <xdr:colOff>419100</xdr:colOff>
      <xdr:row>74</xdr:row>
      <xdr:rowOff>9525</xdr:rowOff>
    </xdr:to>
    <xdr:graphicFrame>
      <xdr:nvGraphicFramePr>
        <xdr:cNvPr id="5" name="Chart 17"/>
        <xdr:cNvGraphicFramePr/>
      </xdr:nvGraphicFramePr>
      <xdr:xfrm>
        <a:off x="962025" y="3724275"/>
        <a:ext cx="63912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A2:P46"/>
  <sheetViews>
    <sheetView tabSelected="1" workbookViewId="0" topLeftCell="A1">
      <selection activeCell="A18" sqref="A18"/>
    </sheetView>
  </sheetViews>
  <sheetFormatPr defaultColWidth="9.140625" defaultRowHeight="12.75" outlineLevelRow="1"/>
  <cols>
    <col min="2" max="2" width="23.28125" style="0" customWidth="1"/>
    <col min="3" max="3" width="11.7109375" style="0" customWidth="1"/>
    <col min="4" max="4" width="16.421875" style="0" customWidth="1"/>
    <col min="5" max="5" width="16.00390625" style="0" customWidth="1"/>
    <col min="13" max="13" width="10.140625" style="0" bestFit="1" customWidth="1"/>
  </cols>
  <sheetData>
    <row r="2" spans="2:3" ht="12.75">
      <c r="B2" s="444"/>
      <c r="C2" s="434" t="s">
        <v>410</v>
      </c>
    </row>
    <row r="3" spans="2:3" ht="12.75">
      <c r="B3" s="173"/>
      <c r="C3" s="434" t="s">
        <v>432</v>
      </c>
    </row>
    <row r="4" spans="2:4" ht="12.75">
      <c r="B4" s="441"/>
      <c r="C4" s="434" t="s">
        <v>433</v>
      </c>
      <c r="D4" s="434" t="s">
        <v>435</v>
      </c>
    </row>
    <row r="6" spans="1:16" ht="12.75">
      <c r="A6" s="432"/>
      <c r="B6" s="431" t="s">
        <v>410</v>
      </c>
      <c r="C6" s="431" t="s">
        <v>417</v>
      </c>
      <c r="D6" s="431" t="s">
        <v>167</v>
      </c>
      <c r="E6" s="432"/>
      <c r="F6" s="432"/>
      <c r="G6" s="432"/>
      <c r="H6" s="432"/>
      <c r="I6" s="432"/>
      <c r="J6" s="432"/>
      <c r="O6" s="431" t="s">
        <v>420</v>
      </c>
      <c r="P6" s="431" t="s">
        <v>419</v>
      </c>
    </row>
    <row r="8" spans="2:16" ht="12.75">
      <c r="B8" s="444" t="s">
        <v>411</v>
      </c>
      <c r="C8" s="444"/>
      <c r="D8" s="444">
        <v>25</v>
      </c>
      <c r="O8">
        <v>25</v>
      </c>
      <c r="P8">
        <v>7</v>
      </c>
    </row>
    <row r="9" spans="2:16" ht="12.75">
      <c r="B9" s="444" t="s">
        <v>412</v>
      </c>
      <c r="C9" s="444"/>
      <c r="D9" s="447">
        <v>3</v>
      </c>
      <c r="O9">
        <v>7</v>
      </c>
      <c r="P9">
        <v>1</v>
      </c>
    </row>
    <row r="10" spans="2:16" ht="12.75">
      <c r="B10" s="444" t="s">
        <v>413</v>
      </c>
      <c r="C10" s="444"/>
      <c r="D10" s="444">
        <v>2</v>
      </c>
      <c r="O10">
        <v>5</v>
      </c>
      <c r="P10">
        <v>1</v>
      </c>
    </row>
    <row r="11" ht="12.75">
      <c r="D11" s="436"/>
    </row>
    <row r="12" spans="2:4" ht="12.75">
      <c r="B12" t="s">
        <v>425</v>
      </c>
      <c r="D12">
        <v>50000</v>
      </c>
    </row>
    <row r="13" spans="2:4" ht="12.75">
      <c r="B13" s="444" t="s">
        <v>423</v>
      </c>
      <c r="C13" s="444"/>
      <c r="D13" s="444">
        <v>0.25</v>
      </c>
    </row>
    <row r="14" spans="2:4" ht="12.75">
      <c r="B14" s="441" t="s">
        <v>414</v>
      </c>
      <c r="C14" s="441"/>
      <c r="D14" s="448">
        <f>3.14*100*100/((D13*D13)*1.1*4)</f>
        <v>114181.81818181818</v>
      </c>
    </row>
    <row r="15" spans="2:4" ht="12.75">
      <c r="B15" s="441" t="s">
        <v>416</v>
      </c>
      <c r="C15" s="441"/>
      <c r="D15" s="452">
        <f>'Total Cost'!C16</f>
        <v>1321.6111839357948</v>
      </c>
    </row>
    <row r="16" spans="2:4" ht="12.75">
      <c r="B16" s="173" t="s">
        <v>428</v>
      </c>
      <c r="C16" s="173"/>
      <c r="D16" s="443">
        <f>1280000*52</f>
        <v>66560000</v>
      </c>
    </row>
    <row r="17" spans="2:4" ht="12.75">
      <c r="B17" s="444" t="s">
        <v>429</v>
      </c>
      <c r="C17" s="444"/>
      <c r="D17" s="445">
        <v>300000</v>
      </c>
    </row>
    <row r="18" spans="2:4" ht="12.75">
      <c r="B18" s="441" t="s">
        <v>415</v>
      </c>
      <c r="C18" s="441"/>
      <c r="D18" s="442">
        <f>D15/D14</f>
        <v>0.01157462024147591</v>
      </c>
    </row>
    <row r="20" ht="12.75">
      <c r="B20" t="s">
        <v>437</v>
      </c>
    </row>
    <row r="21" spans="2:5" ht="12.75" outlineLevel="1">
      <c r="B21" s="441" t="s">
        <v>436</v>
      </c>
      <c r="C21" s="441"/>
      <c r="D21" s="448">
        <f>D17*D14</f>
        <v>34254545454.545452</v>
      </c>
      <c r="E21" s="437"/>
    </row>
    <row r="22" spans="2:4" ht="12.75" outlineLevel="1">
      <c r="B22" s="441" t="s">
        <v>430</v>
      </c>
      <c r="C22" s="441"/>
      <c r="D22" s="446">
        <f>D17/D16</f>
        <v>0.004507211538461538</v>
      </c>
    </row>
    <row r="24" spans="1:10" ht="12.75" hidden="1" outlineLevel="1">
      <c r="A24" s="432"/>
      <c r="B24" s="432"/>
      <c r="C24" s="431" t="s">
        <v>418</v>
      </c>
      <c r="D24" s="432"/>
      <c r="E24" s="432"/>
      <c r="F24" s="432"/>
      <c r="G24" s="432"/>
      <c r="H24" s="432"/>
      <c r="I24" s="432"/>
      <c r="J24" s="432"/>
    </row>
    <row r="25" spans="2:3" ht="12.75" hidden="1" outlineLevel="1">
      <c r="B25" s="434" t="s">
        <v>422</v>
      </c>
      <c r="C25" s="434" t="s">
        <v>434</v>
      </c>
    </row>
    <row r="26" ht="12.75" hidden="1" outlineLevel="1">
      <c r="C26" t="s">
        <v>409</v>
      </c>
    </row>
    <row r="27" spans="2:9" ht="12.75" hidden="1" outlineLevel="1">
      <c r="B27" s="435">
        <f>D18</f>
        <v>0.01157462024147591</v>
      </c>
      <c r="C27" s="433">
        <v>1</v>
      </c>
      <c r="D27" s="433">
        <v>2</v>
      </c>
      <c r="E27" s="433">
        <v>3</v>
      </c>
      <c r="F27" s="433">
        <v>4</v>
      </c>
      <c r="G27" s="433">
        <v>5</v>
      </c>
      <c r="H27" s="433">
        <v>6</v>
      </c>
      <c r="I27" s="432"/>
    </row>
    <row r="28" spans="1:9" ht="12.75" hidden="1" outlineLevel="1">
      <c r="A28" t="s">
        <v>92</v>
      </c>
      <c r="B28" s="433">
        <v>7</v>
      </c>
      <c r="C28">
        <f>0.0162555522649856*D12/D14</f>
        <v>0.007118275275272356</v>
      </c>
      <c r="D28" s="432"/>
      <c r="E28" s="432"/>
      <c r="F28" s="432"/>
      <c r="G28" s="432"/>
      <c r="H28" s="432"/>
      <c r="I28" s="432"/>
    </row>
    <row r="29" spans="2:9" ht="12.75" hidden="1" outlineLevel="1">
      <c r="B29" s="433">
        <v>8</v>
      </c>
      <c r="C29">
        <f>0.0165223733641031*D12/D14</f>
        <v>0.007235115724726676</v>
      </c>
      <c r="D29" s="432"/>
      <c r="E29" s="432"/>
      <c r="F29" s="432"/>
      <c r="G29" s="432"/>
      <c r="H29" s="432"/>
      <c r="I29" s="432"/>
    </row>
    <row r="30" spans="2:9" ht="12.75" hidden="1" outlineLevel="1">
      <c r="B30" s="433">
        <v>10</v>
      </c>
      <c r="C30">
        <f>0.0170476421632025*D12/D14</f>
        <v>0.007465129928153961</v>
      </c>
      <c r="D30">
        <f>0.019597557267615*D12/D14</f>
        <v>0.008581732879926952</v>
      </c>
      <c r="E30" s="432"/>
      <c r="F30" s="432"/>
      <c r="G30" s="432"/>
      <c r="H30" s="432"/>
      <c r="I30" s="432"/>
    </row>
    <row r="31" spans="2:9" ht="12.75" hidden="1" outlineLevel="1">
      <c r="B31" s="433">
        <v>15</v>
      </c>
      <c r="C31">
        <f>0.0183597184970504*D12/D14</f>
        <v>0.008039685647593726</v>
      </c>
      <c r="D31">
        <f>0.0209284898608521*D12/D14</f>
        <v>0.009164545719322178</v>
      </c>
      <c r="E31">
        <f>0.0234963735178327*D12/D14</f>
        <v>0.010289017065929926</v>
      </c>
      <c r="F31">
        <f>0.0260589789242934*D12/D14</f>
        <v>0.011411177076720834</v>
      </c>
      <c r="G31">
        <f>0.0286176640651641*D12/D14</f>
        <v>0.01253162041070084</v>
      </c>
      <c r="H31" s="432"/>
      <c r="I31" s="432"/>
    </row>
    <row r="32" spans="2:9" ht="12.75" hidden="1" outlineLevel="1">
      <c r="B32" s="433">
        <v>20</v>
      </c>
      <c r="C32">
        <f>0.0197060793926583*D12/D14</f>
        <v>0.008629254511116295</v>
      </c>
      <c r="D32">
        <f>0.0222613719102539*D12/D14</f>
        <v>0.00974821222184685</v>
      </c>
      <c r="E32">
        <f>0.0248313426951496*D12/D14</f>
        <v>0.010873597517780479</v>
      </c>
      <c r="F32">
        <f>0.027382584656676*D12/D14</f>
        <v>0.011990781497748248</v>
      </c>
      <c r="G32">
        <f>0.0299680898861254*D12/D14</f>
        <v>0.013122969297268288</v>
      </c>
      <c r="H32">
        <f>0.0325278335178372*D12/D14</f>
        <v>0.014243876142365018</v>
      </c>
      <c r="I32" s="432"/>
    </row>
    <row r="33" spans="2:9" ht="12.75" hidden="1" outlineLevel="1">
      <c r="B33" s="433">
        <v>25</v>
      </c>
      <c r="C33">
        <f>0.0210311922469748*D12/D14</f>
        <v>0.009209518897958709</v>
      </c>
      <c r="D33">
        <f>0.023587186793521*D12/D14</f>
        <v>0.01032878402582528</v>
      </c>
      <c r="E33">
        <f>0.0261548956306109*D12/D14</f>
        <v>0.011453178819136938</v>
      </c>
      <c r="F33">
        <f>0.028725184500793*D12/D14</f>
        <v>0.012578703404009675</v>
      </c>
      <c r="G33">
        <f>0.031290721822342*D12/D14</f>
        <v>0.013702147294815368</v>
      </c>
      <c r="H33">
        <f>0.0338445683903446*D12/D14</f>
        <v>0.014820471826982111</v>
      </c>
      <c r="I33" s="432"/>
    </row>
    <row r="34" ht="12.75" hidden="1" outlineLevel="1"/>
    <row r="35" ht="12.75" hidden="1" outlineLevel="1"/>
    <row r="36" ht="12.75" hidden="1" outlineLevel="1">
      <c r="B36" s="434" t="s">
        <v>427</v>
      </c>
    </row>
    <row r="37" ht="12.75" hidden="1" outlineLevel="1">
      <c r="C37" t="s">
        <v>409</v>
      </c>
    </row>
    <row r="38" spans="2:8" ht="12.75" hidden="1" outlineLevel="1">
      <c r="B38" s="435">
        <f>D18</f>
        <v>0.01157462024147591</v>
      </c>
      <c r="C38" s="433">
        <v>1</v>
      </c>
      <c r="D38" s="433">
        <v>2</v>
      </c>
      <c r="E38" s="433">
        <v>3</v>
      </c>
      <c r="F38" s="433">
        <v>4</v>
      </c>
      <c r="G38" s="433">
        <v>5</v>
      </c>
      <c r="H38" s="433">
        <v>6</v>
      </c>
    </row>
    <row r="39" spans="1:8" ht="12.75" hidden="1" outlineLevel="1">
      <c r="A39" t="s">
        <v>426</v>
      </c>
      <c r="B39" s="433">
        <v>2</v>
      </c>
      <c r="C39">
        <v>0.009338769000674955</v>
      </c>
      <c r="D39">
        <v>0.01045486688962713</v>
      </c>
      <c r="E39">
        <v>0.01157462024147591</v>
      </c>
      <c r="F39">
        <v>0.012709421935043293</v>
      </c>
      <c r="G39">
        <v>0.013826458102461674</v>
      </c>
      <c r="H39">
        <v>0.014952790661871652</v>
      </c>
    </row>
    <row r="40" spans="2:7" ht="12.75" hidden="1" outlineLevel="1">
      <c r="B40" s="433">
        <v>3</v>
      </c>
      <c r="C40">
        <v>0.009467259850557921</v>
      </c>
      <c r="D40">
        <v>0.010581906828925215</v>
      </c>
      <c r="E40">
        <v>0.01170957353365117</v>
      </c>
      <c r="F40">
        <v>0.012834412742944903</v>
      </c>
      <c r="G40">
        <v>0.013958375541048845</v>
      </c>
    </row>
    <row r="41" spans="2:12" ht="12.75" hidden="1" outlineLevel="1">
      <c r="B41" s="433">
        <v>5</v>
      </c>
      <c r="G41">
        <v>0.014217417393628777</v>
      </c>
      <c r="L41">
        <f>E39/(D13*D13)</f>
        <v>0.18519392386361455</v>
      </c>
    </row>
    <row r="42" spans="2:7" ht="12.75" hidden="1" outlineLevel="1">
      <c r="B42" s="433">
        <v>8</v>
      </c>
      <c r="G42">
        <v>0.0146055759375864</v>
      </c>
    </row>
    <row r="43" spans="2:7" ht="12.75" hidden="1" outlineLevel="1">
      <c r="B43" s="433">
        <v>10</v>
      </c>
      <c r="G43">
        <v>0.014862784567702092</v>
      </c>
    </row>
    <row r="44" ht="12.75" hidden="1" outlineLevel="1"/>
    <row r="45" ht="12.75" hidden="1" outlineLevel="1"/>
    <row r="46" spans="2:3" ht="12.75" hidden="1" outlineLevel="1">
      <c r="B46" s="432" t="s">
        <v>431</v>
      </c>
      <c r="C46">
        <v>0.008052498306102234</v>
      </c>
    </row>
    <row r="47" ht="12.75" hidden="1" outlineLevel="1"/>
    <row r="48" ht="12.75" hidden="1" outlineLevel="1"/>
    <row r="49" ht="12.75" hidden="1" outlineLevel="1"/>
    <row r="50" ht="12.75" hidden="1" outlineLevel="1"/>
    <row r="51" ht="12.75" hidden="1" outlineLevel="1"/>
    <row r="52" ht="12.75" hidden="1" outlineLevel="1"/>
    <row r="53" ht="12.75" hidden="1" outlineLevel="1"/>
    <row r="54" ht="12.75" hidden="1" outlineLevel="1"/>
    <row r="55" ht="12.75" hidden="1" outlineLevel="1"/>
    <row r="56" ht="12.75" hidden="1" outlineLevel="1"/>
    <row r="57" ht="12.75" hidden="1" outlineLevel="1"/>
    <row r="58" ht="12.75" hidden="1" outlineLevel="1"/>
    <row r="59" ht="12.75" hidden="1" outlineLevel="1"/>
    <row r="60" ht="12.75" hidden="1" outlineLevel="1"/>
    <row r="61" ht="12.75" hidden="1" outlineLevel="1"/>
    <row r="62" ht="12.75" hidden="1" outlineLevel="1"/>
    <row r="63" ht="12.75" hidden="1" outlineLevel="1"/>
    <row r="64" ht="12.75" hidden="1" outlineLevel="1"/>
    <row r="65" ht="12.75" hidden="1" outlineLevel="1"/>
    <row r="66" ht="12.75" hidden="1" outlineLevel="1"/>
    <row r="67" ht="12.75" hidden="1" outlineLevel="1"/>
    <row r="68" ht="12.75" hidden="1" outlineLevel="1"/>
    <row r="69" ht="12.75" hidden="1" outlineLevel="1"/>
    <row r="70" ht="12.75" hidden="1" outlineLevel="1"/>
    <row r="71" ht="12.75" hidden="1" outlineLevel="1"/>
    <row r="72" ht="12.75" hidden="1" outlineLevel="1"/>
    <row r="73" ht="12.75" hidden="1" outlineLevel="1"/>
    <row r="74" ht="12.75" hidden="1" outlineLevel="1"/>
    <row r="75" ht="12.75" hidden="1" outlineLevel="1"/>
    <row r="76" ht="12.75" collapsed="1"/>
  </sheetData>
  <printOptions/>
  <pageMargins left="0.75" right="0.75" top="1" bottom="1" header="0.5" footer="0.5"/>
  <pageSetup horizontalDpi="300" verticalDpi="300" orientation="landscape" scale="7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AA125"/>
  <sheetViews>
    <sheetView zoomScale="75" zoomScaleNormal="75" workbookViewId="0" topLeftCell="A1">
      <selection activeCell="A1" sqref="A1"/>
    </sheetView>
  </sheetViews>
  <sheetFormatPr defaultColWidth="9.140625" defaultRowHeight="12.75" outlineLevelCol="1"/>
  <cols>
    <col min="1" max="1" width="25.421875" style="94" customWidth="1"/>
    <col min="2" max="2" width="15.28125" style="94" customWidth="1"/>
    <col min="3" max="3" width="14.140625" style="94" customWidth="1"/>
    <col min="4" max="4" width="15.140625" style="94" customWidth="1"/>
    <col min="5" max="5" width="17.421875" style="94" bestFit="1" customWidth="1"/>
    <col min="6" max="6" width="9.140625" style="94" customWidth="1"/>
    <col min="7" max="7" width="12.421875" style="94" customWidth="1"/>
    <col min="8" max="8" width="16.57421875" style="94" hidden="1" customWidth="1" outlineLevel="1"/>
    <col min="9" max="9" width="9.8515625" style="94" hidden="1" customWidth="1" outlineLevel="1"/>
    <col min="10" max="10" width="12.140625" style="94" hidden="1" customWidth="1" outlineLevel="1"/>
    <col min="11" max="11" width="9.00390625" style="94" hidden="1" customWidth="1" outlineLevel="1"/>
    <col min="12" max="12" width="12.140625" style="94" hidden="1" customWidth="1" outlineLevel="1"/>
    <col min="13" max="13" width="9.00390625" style="94" hidden="1" customWidth="1" outlineLevel="1"/>
    <col min="14" max="14" width="9.28125" style="94" hidden="1" customWidth="1" outlineLevel="1"/>
    <col min="15" max="15" width="9.00390625" style="94" hidden="1" customWidth="1" outlineLevel="1"/>
    <col min="16" max="16" width="15.28125" style="94" hidden="1" customWidth="1" outlineLevel="1"/>
    <col min="17" max="17" width="18.421875" style="94" hidden="1" customWidth="1" outlineLevel="1"/>
    <col min="18" max="18" width="14.00390625" style="94" customWidth="1" collapsed="1"/>
    <col min="19" max="19" width="14.140625" style="94" customWidth="1"/>
    <col min="20" max="21" width="9.140625" style="94" customWidth="1"/>
    <col min="22" max="22" width="8.8515625" style="94" customWidth="1"/>
    <col min="23" max="65" width="9.140625" style="94" customWidth="1"/>
  </cols>
  <sheetData>
    <row r="1" ht="15.75">
      <c r="A1" s="346" t="s">
        <v>207</v>
      </c>
    </row>
    <row r="3" ht="12.75">
      <c r="I3" s="156" t="s">
        <v>342</v>
      </c>
    </row>
    <row r="4" ht="15.75">
      <c r="A4" s="128" t="s">
        <v>224</v>
      </c>
    </row>
    <row r="5" spans="9:17" ht="13.5" thickBot="1">
      <c r="I5" s="235" t="s">
        <v>318</v>
      </c>
      <c r="P5" s="8"/>
      <c r="Q5" s="8"/>
    </row>
    <row r="6" spans="1:17" ht="13.5" thickBot="1">
      <c r="A6" s="318" t="s">
        <v>329</v>
      </c>
      <c r="B6" s="224"/>
      <c r="C6" s="224"/>
      <c r="I6" s="207" t="s">
        <v>212</v>
      </c>
      <c r="K6" s="136" t="s">
        <v>115</v>
      </c>
      <c r="L6" s="134"/>
      <c r="M6" s="134"/>
      <c r="N6" s="137"/>
      <c r="P6" s="8"/>
      <c r="Q6" s="8"/>
    </row>
    <row r="7" spans="9:17" ht="13.5" thickBot="1">
      <c r="I7" s="209"/>
      <c r="K7" s="138" t="s">
        <v>227</v>
      </c>
      <c r="L7" s="138" t="s">
        <v>334</v>
      </c>
      <c r="M7" s="139" t="s">
        <v>63</v>
      </c>
      <c r="N7" s="140" t="s">
        <v>325</v>
      </c>
      <c r="P7" s="136" t="s">
        <v>326</v>
      </c>
      <c r="Q7" s="137"/>
    </row>
    <row r="8" spans="9:20" ht="13.5" thickBot="1">
      <c r="I8" s="145" t="s">
        <v>61</v>
      </c>
      <c r="J8" s="134" t="s">
        <v>210</v>
      </c>
      <c r="K8" s="141" t="s">
        <v>64</v>
      </c>
      <c r="L8" s="9" t="s">
        <v>64</v>
      </c>
      <c r="M8" s="142" t="s">
        <v>64</v>
      </c>
      <c r="N8" s="143" t="s">
        <v>226</v>
      </c>
      <c r="O8" s="144" t="s">
        <v>211</v>
      </c>
      <c r="P8" s="136" t="s">
        <v>147</v>
      </c>
      <c r="Q8" s="145" t="s">
        <v>148</v>
      </c>
      <c r="S8"/>
      <c r="T8"/>
    </row>
    <row r="9" spans="9:20" ht="12.75">
      <c r="I9" s="84" t="s">
        <v>251</v>
      </c>
      <c r="J9" s="132">
        <f>1-J80</f>
        <v>0.77</v>
      </c>
      <c r="K9" s="147">
        <v>2</v>
      </c>
      <c r="L9" s="147">
        <v>0.4</v>
      </c>
      <c r="M9" s="148">
        <v>0.3</v>
      </c>
      <c r="N9" s="149">
        <v>0.14</v>
      </c>
      <c r="O9" s="84">
        <v>5</v>
      </c>
      <c r="P9" s="150">
        <v>400</v>
      </c>
      <c r="Q9" s="84">
        <v>1600</v>
      </c>
      <c r="S9"/>
      <c r="T9"/>
    </row>
    <row r="10" spans="9:20" ht="12.75">
      <c r="I10" s="84" t="s">
        <v>249</v>
      </c>
      <c r="J10" s="132">
        <f aca="true" t="shared" si="0" ref="J10:J51">1-J81</f>
        <v>0.77</v>
      </c>
      <c r="K10" s="147">
        <v>2</v>
      </c>
      <c r="L10" s="147">
        <v>0.4</v>
      </c>
      <c r="M10" s="148">
        <v>0.3</v>
      </c>
      <c r="N10" s="149">
        <v>0.14</v>
      </c>
      <c r="O10" s="84">
        <v>5</v>
      </c>
      <c r="P10" s="150">
        <v>400</v>
      </c>
      <c r="Q10" s="84">
        <v>1600</v>
      </c>
      <c r="S10"/>
      <c r="T10"/>
    </row>
    <row r="11" spans="9:20" ht="12.75">
      <c r="I11" s="84" t="s">
        <v>250</v>
      </c>
      <c r="J11" s="132">
        <f t="shared" si="0"/>
        <v>0.77</v>
      </c>
      <c r="K11" s="147">
        <v>2</v>
      </c>
      <c r="L11" s="147">
        <v>0.4</v>
      </c>
      <c r="M11" s="148">
        <v>0.3</v>
      </c>
      <c r="N11" s="149">
        <v>0.14</v>
      </c>
      <c r="O11" s="84">
        <v>5</v>
      </c>
      <c r="P11" s="150">
        <v>400</v>
      </c>
      <c r="Q11" s="84">
        <v>1600</v>
      </c>
      <c r="S11"/>
      <c r="T11"/>
    </row>
    <row r="12" spans="9:20" ht="13.5" thickBot="1">
      <c r="I12" s="84" t="s">
        <v>252</v>
      </c>
      <c r="J12" s="132">
        <f t="shared" si="0"/>
        <v>0.77</v>
      </c>
      <c r="K12" s="147">
        <v>2</v>
      </c>
      <c r="L12" s="147">
        <v>0.4</v>
      </c>
      <c r="M12" s="148">
        <v>0.3</v>
      </c>
      <c r="N12" s="149">
        <v>0.14</v>
      </c>
      <c r="O12" s="84">
        <v>5</v>
      </c>
      <c r="P12" s="150">
        <v>400</v>
      </c>
      <c r="Q12" s="84">
        <v>1600</v>
      </c>
      <c r="S12"/>
      <c r="T12"/>
    </row>
    <row r="13" spans="1:20" ht="13.5" thickBot="1">
      <c r="A13" s="95" t="s">
        <v>223</v>
      </c>
      <c r="B13" s="449">
        <v>200</v>
      </c>
      <c r="I13" s="84" t="s">
        <v>255</v>
      </c>
      <c r="J13" s="132">
        <f t="shared" si="0"/>
        <v>0.36</v>
      </c>
      <c r="K13" s="147">
        <v>3</v>
      </c>
      <c r="L13" s="147">
        <v>0.6</v>
      </c>
      <c r="M13" s="148">
        <v>0.45</v>
      </c>
      <c r="N13" s="149">
        <v>0.21</v>
      </c>
      <c r="O13" s="84">
        <v>5</v>
      </c>
      <c r="P13" s="150">
        <v>400</v>
      </c>
      <c r="Q13" s="84">
        <v>1600</v>
      </c>
      <c r="S13"/>
      <c r="T13"/>
    </row>
    <row r="14" spans="9:20" ht="12.75">
      <c r="I14" s="84" t="s">
        <v>253</v>
      </c>
      <c r="J14" s="132">
        <f t="shared" si="0"/>
        <v>0.36</v>
      </c>
      <c r="K14" s="147">
        <v>3</v>
      </c>
      <c r="L14" s="147">
        <v>0.6</v>
      </c>
      <c r="M14" s="148">
        <v>0.45</v>
      </c>
      <c r="N14" s="149">
        <v>0.21</v>
      </c>
      <c r="O14" s="84">
        <v>5</v>
      </c>
      <c r="P14" s="150">
        <v>400</v>
      </c>
      <c r="Q14" s="84">
        <v>1600</v>
      </c>
      <c r="S14"/>
      <c r="T14"/>
    </row>
    <row r="15" spans="1:20" ht="13.5" thickBot="1">
      <c r="A15" s="235" t="s">
        <v>287</v>
      </c>
      <c r="I15" s="84" t="s">
        <v>254</v>
      </c>
      <c r="J15" s="132">
        <f>1-J86</f>
        <v>0.36</v>
      </c>
      <c r="K15" s="147">
        <v>3</v>
      </c>
      <c r="L15" s="147">
        <v>0.6</v>
      </c>
      <c r="M15" s="148">
        <v>0.45</v>
      </c>
      <c r="N15" s="149">
        <v>0.21</v>
      </c>
      <c r="O15" s="84">
        <v>5</v>
      </c>
      <c r="P15" s="150">
        <v>400</v>
      </c>
      <c r="Q15" s="84">
        <v>1600</v>
      </c>
      <c r="S15"/>
      <c r="T15"/>
    </row>
    <row r="16" spans="1:20" ht="13.5" thickBot="1">
      <c r="A16" s="95" t="s">
        <v>199</v>
      </c>
      <c r="B16" s="96" t="s">
        <v>321</v>
      </c>
      <c r="C16" s="97" t="s">
        <v>163</v>
      </c>
      <c r="I16" s="84" t="s">
        <v>256</v>
      </c>
      <c r="J16" s="132">
        <f t="shared" si="0"/>
        <v>0.36</v>
      </c>
      <c r="K16" s="147">
        <v>2</v>
      </c>
      <c r="L16" s="147">
        <v>0.4</v>
      </c>
      <c r="M16" s="148">
        <v>0.3</v>
      </c>
      <c r="N16" s="149">
        <v>0.14</v>
      </c>
      <c r="O16" s="84">
        <v>5</v>
      </c>
      <c r="P16" s="150">
        <v>400</v>
      </c>
      <c r="Q16" s="84">
        <v>1600</v>
      </c>
      <c r="S16"/>
      <c r="T16"/>
    </row>
    <row r="17" spans="1:20" ht="12.75">
      <c r="A17" s="98" t="s">
        <v>288</v>
      </c>
      <c r="B17" s="99">
        <v>25000</v>
      </c>
      <c r="C17" s="100">
        <v>40000</v>
      </c>
      <c r="E17" s="94" t="s">
        <v>421</v>
      </c>
      <c r="I17" s="84" t="s">
        <v>258</v>
      </c>
      <c r="J17" s="132">
        <f t="shared" si="0"/>
        <v>0.52</v>
      </c>
      <c r="K17" s="147">
        <v>3.5</v>
      </c>
      <c r="L17" s="147">
        <v>0.7</v>
      </c>
      <c r="M17" s="148">
        <v>0.525</v>
      </c>
      <c r="N17" s="149">
        <v>0.245</v>
      </c>
      <c r="O17" s="84">
        <v>5</v>
      </c>
      <c r="P17" s="150">
        <v>400</v>
      </c>
      <c r="Q17" s="84">
        <v>1600</v>
      </c>
      <c r="S17"/>
      <c r="T17"/>
    </row>
    <row r="18" spans="1:20" ht="12.75">
      <c r="A18" s="98" t="s">
        <v>289</v>
      </c>
      <c r="B18" s="99">
        <v>80000</v>
      </c>
      <c r="C18" s="100">
        <v>40000</v>
      </c>
      <c r="I18" s="84" t="s">
        <v>257</v>
      </c>
      <c r="J18" s="132">
        <f t="shared" si="0"/>
        <v>0.52</v>
      </c>
      <c r="K18" s="147">
        <v>3.5</v>
      </c>
      <c r="L18" s="147">
        <v>0.7</v>
      </c>
      <c r="M18" s="148">
        <v>0.525</v>
      </c>
      <c r="N18" s="149">
        <v>0.245</v>
      </c>
      <c r="O18" s="84">
        <v>5</v>
      </c>
      <c r="P18" s="150">
        <v>400</v>
      </c>
      <c r="Q18" s="84">
        <v>1600</v>
      </c>
      <c r="S18"/>
      <c r="T18"/>
    </row>
    <row r="19" spans="1:20" ht="12.75">
      <c r="A19" s="98" t="s">
        <v>290</v>
      </c>
      <c r="B19" s="99">
        <v>4000</v>
      </c>
      <c r="C19" s="100">
        <v>40000</v>
      </c>
      <c r="I19" s="84" t="s">
        <v>260</v>
      </c>
      <c r="J19" s="132">
        <f t="shared" si="0"/>
        <v>0.52</v>
      </c>
      <c r="K19" s="147">
        <v>3.5</v>
      </c>
      <c r="L19" s="147">
        <v>0.7</v>
      </c>
      <c r="M19" s="148">
        <v>0.525</v>
      </c>
      <c r="N19" s="149">
        <v>0.245</v>
      </c>
      <c r="O19" s="84">
        <v>5</v>
      </c>
      <c r="P19" s="150">
        <v>400</v>
      </c>
      <c r="Q19" s="84">
        <v>1600</v>
      </c>
      <c r="S19"/>
      <c r="T19"/>
    </row>
    <row r="20" spans="1:20" ht="13.5" thickBot="1">
      <c r="A20" s="101" t="s">
        <v>291</v>
      </c>
      <c r="B20" s="102">
        <v>7000</v>
      </c>
      <c r="C20" s="103">
        <v>40000</v>
      </c>
      <c r="I20" s="84" t="s">
        <v>259</v>
      </c>
      <c r="J20" s="132">
        <f t="shared" si="0"/>
        <v>0.52</v>
      </c>
      <c r="K20" s="147">
        <v>3.5</v>
      </c>
      <c r="L20" s="147">
        <v>0.7</v>
      </c>
      <c r="M20" s="148">
        <v>0.525</v>
      </c>
      <c r="N20" s="149">
        <v>0.245</v>
      </c>
      <c r="O20" s="84">
        <v>5</v>
      </c>
      <c r="P20" s="150">
        <v>400</v>
      </c>
      <c r="Q20" s="84">
        <v>1600</v>
      </c>
      <c r="S20"/>
      <c r="T20"/>
    </row>
    <row r="21" spans="9:20" ht="12.75">
      <c r="I21" s="84" t="s">
        <v>264</v>
      </c>
      <c r="J21" s="132">
        <f t="shared" si="0"/>
        <v>0.41000000000000003</v>
      </c>
      <c r="K21" s="147">
        <v>2.5</v>
      </c>
      <c r="L21" s="147">
        <v>0.5</v>
      </c>
      <c r="M21" s="148">
        <v>0.375</v>
      </c>
      <c r="N21" s="149">
        <v>0.175</v>
      </c>
      <c r="O21" s="84">
        <v>5</v>
      </c>
      <c r="P21" s="150">
        <v>400</v>
      </c>
      <c r="Q21" s="84">
        <v>1600</v>
      </c>
      <c r="S21"/>
      <c r="T21"/>
    </row>
    <row r="22" spans="9:20" ht="13.5" thickBot="1">
      <c r="I22" s="84" t="s">
        <v>261</v>
      </c>
      <c r="J22" s="132">
        <f t="shared" si="0"/>
        <v>0.47</v>
      </c>
      <c r="K22" s="147">
        <v>2.5</v>
      </c>
      <c r="L22" s="147">
        <v>0.5</v>
      </c>
      <c r="M22" s="148">
        <v>0.375</v>
      </c>
      <c r="N22" s="149">
        <v>0.175</v>
      </c>
      <c r="O22" s="84">
        <v>5</v>
      </c>
      <c r="P22" s="150">
        <v>400</v>
      </c>
      <c r="Q22" s="84">
        <v>1600</v>
      </c>
      <c r="S22"/>
      <c r="T22"/>
    </row>
    <row r="23" spans="1:20" ht="12.75">
      <c r="A23" s="104" t="s">
        <v>81</v>
      </c>
      <c r="B23" s="105" t="s">
        <v>200</v>
      </c>
      <c r="I23" s="84" t="s">
        <v>262</v>
      </c>
      <c r="J23" s="132">
        <f t="shared" si="0"/>
        <v>0.47</v>
      </c>
      <c r="K23" s="147">
        <v>2.5</v>
      </c>
      <c r="L23" s="147">
        <v>0.5</v>
      </c>
      <c r="M23" s="148">
        <v>0.375</v>
      </c>
      <c r="N23" s="149">
        <v>0.175</v>
      </c>
      <c r="O23" s="84">
        <v>5</v>
      </c>
      <c r="P23" s="150">
        <v>400</v>
      </c>
      <c r="Q23" s="84">
        <v>1600</v>
      </c>
      <c r="S23"/>
      <c r="T23"/>
    </row>
    <row r="24" spans="1:20" ht="12.75">
      <c r="A24" s="106" t="s">
        <v>86</v>
      </c>
      <c r="B24" s="450">
        <f>60000</f>
        <v>60000</v>
      </c>
      <c r="D24"/>
      <c r="I24" s="84" t="s">
        <v>263</v>
      </c>
      <c r="J24" s="132">
        <f t="shared" si="0"/>
        <v>0.47</v>
      </c>
      <c r="K24" s="147">
        <v>2.5</v>
      </c>
      <c r="L24" s="147">
        <v>0.5</v>
      </c>
      <c r="M24" s="148">
        <v>0.375</v>
      </c>
      <c r="N24" s="149">
        <v>0.175</v>
      </c>
      <c r="O24" s="84">
        <v>5</v>
      </c>
      <c r="P24" s="150">
        <v>400</v>
      </c>
      <c r="Q24" s="84">
        <v>1600</v>
      </c>
      <c r="S24"/>
      <c r="T24"/>
    </row>
    <row r="25" spans="1:20" ht="12.75">
      <c r="A25" s="106" t="s">
        <v>87</v>
      </c>
      <c r="B25" s="450">
        <f>80000</f>
        <v>80000</v>
      </c>
      <c r="D25"/>
      <c r="I25" s="84" t="s">
        <v>265</v>
      </c>
      <c r="J25" s="132">
        <f t="shared" si="0"/>
        <v>0.41000000000000003</v>
      </c>
      <c r="K25" s="147">
        <v>2.5</v>
      </c>
      <c r="L25" s="147">
        <v>0.5</v>
      </c>
      <c r="M25" s="148">
        <v>0.375</v>
      </c>
      <c r="N25" s="149">
        <v>0.175</v>
      </c>
      <c r="O25" s="84">
        <v>5</v>
      </c>
      <c r="P25" s="150">
        <v>400</v>
      </c>
      <c r="Q25" s="84">
        <v>1600</v>
      </c>
      <c r="S25"/>
      <c r="T25"/>
    </row>
    <row r="26" spans="1:20" ht="12.75">
      <c r="A26" s="106" t="s">
        <v>201</v>
      </c>
      <c r="B26" s="450">
        <f>125000</f>
        <v>125000</v>
      </c>
      <c r="C26" s="107"/>
      <c r="D26"/>
      <c r="I26" s="84" t="s">
        <v>23</v>
      </c>
      <c r="J26" s="132">
        <f t="shared" si="0"/>
        <v>0.35</v>
      </c>
      <c r="K26" s="147">
        <v>1</v>
      </c>
      <c r="L26" s="147">
        <v>0.2</v>
      </c>
      <c r="M26" s="148">
        <v>0.15</v>
      </c>
      <c r="N26" s="149">
        <v>0.07</v>
      </c>
      <c r="O26" s="84">
        <v>5</v>
      </c>
      <c r="P26" s="150">
        <v>280</v>
      </c>
      <c r="Q26" s="84">
        <v>1120</v>
      </c>
      <c r="S26"/>
      <c r="T26"/>
    </row>
    <row r="27" spans="1:20" ht="12.75">
      <c r="A27" s="106" t="s">
        <v>232</v>
      </c>
      <c r="B27" s="450">
        <f>70000</f>
        <v>70000</v>
      </c>
      <c r="D27"/>
      <c r="I27" s="84" t="s">
        <v>266</v>
      </c>
      <c r="J27" s="132">
        <f t="shared" si="0"/>
        <v>0.35</v>
      </c>
      <c r="K27" s="147">
        <v>1</v>
      </c>
      <c r="L27" s="147">
        <v>0.2</v>
      </c>
      <c r="M27" s="148">
        <v>0.15</v>
      </c>
      <c r="N27" s="149">
        <v>0.07</v>
      </c>
      <c r="O27" s="84">
        <v>5</v>
      </c>
      <c r="P27" s="150">
        <v>280</v>
      </c>
      <c r="Q27" s="84">
        <v>1120</v>
      </c>
      <c r="S27"/>
      <c r="T27"/>
    </row>
    <row r="28" spans="1:20" ht="12.75">
      <c r="A28" s="106" t="s">
        <v>75</v>
      </c>
      <c r="B28" s="450">
        <f>125000</f>
        <v>125000</v>
      </c>
      <c r="D28"/>
      <c r="I28" s="84" t="s">
        <v>267</v>
      </c>
      <c r="J28" s="132">
        <f t="shared" si="0"/>
        <v>0.35</v>
      </c>
      <c r="K28" s="147">
        <v>1</v>
      </c>
      <c r="L28" s="147">
        <v>0.2</v>
      </c>
      <c r="M28" s="148">
        <v>0.15</v>
      </c>
      <c r="N28" s="149">
        <v>0.07</v>
      </c>
      <c r="O28" s="84">
        <v>5</v>
      </c>
      <c r="P28" s="150">
        <v>280</v>
      </c>
      <c r="Q28" s="84">
        <v>1120</v>
      </c>
      <c r="S28"/>
      <c r="T28"/>
    </row>
    <row r="29" spans="1:20" ht="13.5" thickBot="1">
      <c r="A29" s="108" t="s">
        <v>202</v>
      </c>
      <c r="B29" s="451">
        <f>70000</f>
        <v>70000</v>
      </c>
      <c r="D29"/>
      <c r="I29" s="84" t="s">
        <v>268</v>
      </c>
      <c r="J29" s="132">
        <f t="shared" si="0"/>
        <v>0.5</v>
      </c>
      <c r="K29" s="147">
        <v>1</v>
      </c>
      <c r="L29" s="147">
        <v>0.2</v>
      </c>
      <c r="M29" s="148">
        <v>0.15</v>
      </c>
      <c r="N29" s="149">
        <v>0.07</v>
      </c>
      <c r="O29" s="84">
        <v>5</v>
      </c>
      <c r="P29" s="150">
        <v>240</v>
      </c>
      <c r="Q29" s="84">
        <v>960</v>
      </c>
      <c r="S29"/>
      <c r="T29"/>
    </row>
    <row r="30" spans="9:20" ht="12.75">
      <c r="I30" s="84" t="s">
        <v>269</v>
      </c>
      <c r="J30" s="132">
        <f t="shared" si="0"/>
        <v>0.5</v>
      </c>
      <c r="K30" s="147">
        <v>1</v>
      </c>
      <c r="L30" s="147">
        <v>0.2</v>
      </c>
      <c r="M30" s="148">
        <v>0.15</v>
      </c>
      <c r="N30" s="149">
        <v>0.07</v>
      </c>
      <c r="O30" s="84">
        <v>5</v>
      </c>
      <c r="P30" s="150">
        <v>240</v>
      </c>
      <c r="Q30" s="84">
        <v>960</v>
      </c>
      <c r="S30"/>
      <c r="T30"/>
    </row>
    <row r="31" spans="9:20" ht="13.5" thickBot="1">
      <c r="I31" s="84" t="s">
        <v>271</v>
      </c>
      <c r="J31" s="132">
        <f t="shared" si="0"/>
        <v>0.5</v>
      </c>
      <c r="K31" s="147">
        <v>1</v>
      </c>
      <c r="L31" s="147">
        <v>0.2</v>
      </c>
      <c r="M31" s="148">
        <v>0.15</v>
      </c>
      <c r="N31" s="149">
        <v>0.07</v>
      </c>
      <c r="O31" s="84">
        <v>5</v>
      </c>
      <c r="P31" s="150">
        <v>240</v>
      </c>
      <c r="Q31" s="84">
        <v>960</v>
      </c>
      <c r="S31"/>
      <c r="T31"/>
    </row>
    <row r="32" spans="1:20" ht="12.75">
      <c r="A32" s="109" t="s">
        <v>149</v>
      </c>
      <c r="B32" s="110" t="s">
        <v>322</v>
      </c>
      <c r="C32" s="111" t="s">
        <v>204</v>
      </c>
      <c r="D32" s="112" t="s">
        <v>323</v>
      </c>
      <c r="E32" s="105" t="s">
        <v>205</v>
      </c>
      <c r="I32" s="84" t="s">
        <v>270</v>
      </c>
      <c r="J32" s="132">
        <f t="shared" si="0"/>
        <v>0.5</v>
      </c>
      <c r="K32" s="147">
        <v>1</v>
      </c>
      <c r="L32" s="147">
        <v>0.2</v>
      </c>
      <c r="M32" s="148">
        <v>0.15</v>
      </c>
      <c r="N32" s="149">
        <v>0.07</v>
      </c>
      <c r="O32" s="84">
        <v>5</v>
      </c>
      <c r="P32" s="150">
        <v>240</v>
      </c>
      <c r="Q32" s="84">
        <v>960</v>
      </c>
      <c r="S32"/>
      <c r="T32"/>
    </row>
    <row r="33" spans="1:20" ht="12.75">
      <c r="A33" s="113" t="s">
        <v>95</v>
      </c>
      <c r="B33" s="114"/>
      <c r="C33" s="115"/>
      <c r="D33" s="116"/>
      <c r="E33" s="100"/>
      <c r="I33" s="84" t="s">
        <v>272</v>
      </c>
      <c r="J33" s="132">
        <f t="shared" si="0"/>
        <v>0.5</v>
      </c>
      <c r="K33" s="147">
        <v>1</v>
      </c>
      <c r="L33" s="147">
        <v>0.2</v>
      </c>
      <c r="M33" s="148">
        <v>0.15</v>
      </c>
      <c r="N33" s="149">
        <v>0.07</v>
      </c>
      <c r="O33" s="84">
        <v>5</v>
      </c>
      <c r="P33" s="150">
        <v>240</v>
      </c>
      <c r="Q33" s="84">
        <v>960</v>
      </c>
      <c r="S33"/>
      <c r="T33"/>
    </row>
    <row r="34" spans="1:20" ht="12.75">
      <c r="A34" s="117" t="s">
        <v>94</v>
      </c>
      <c r="B34" s="118">
        <v>25</v>
      </c>
      <c r="C34" s="119">
        <v>3500</v>
      </c>
      <c r="D34" s="99">
        <v>175</v>
      </c>
      <c r="E34" s="100"/>
      <c r="I34" s="84" t="s">
        <v>273</v>
      </c>
      <c r="J34" s="132">
        <f t="shared" si="0"/>
        <v>0.5</v>
      </c>
      <c r="K34" s="147">
        <v>1</v>
      </c>
      <c r="L34" s="147">
        <v>0.2</v>
      </c>
      <c r="M34" s="148">
        <v>0.15</v>
      </c>
      <c r="N34" s="149">
        <v>0.07</v>
      </c>
      <c r="O34" s="84">
        <v>5</v>
      </c>
      <c r="P34" s="150">
        <v>240</v>
      </c>
      <c r="Q34" s="84">
        <v>960</v>
      </c>
      <c r="S34"/>
      <c r="T34"/>
    </row>
    <row r="35" spans="1:20" ht="12.75">
      <c r="A35" s="120" t="s">
        <v>150</v>
      </c>
      <c r="B35" s="121">
        <v>25</v>
      </c>
      <c r="C35" s="122">
        <v>175</v>
      </c>
      <c r="D35" s="123">
        <v>50</v>
      </c>
      <c r="E35" s="124"/>
      <c r="I35" s="84" t="s">
        <v>274</v>
      </c>
      <c r="J35" s="132">
        <f t="shared" si="0"/>
        <v>0.63</v>
      </c>
      <c r="K35" s="147">
        <v>3</v>
      </c>
      <c r="L35" s="147">
        <v>0.6</v>
      </c>
      <c r="M35" s="148">
        <v>0.45</v>
      </c>
      <c r="N35" s="149">
        <v>0.21</v>
      </c>
      <c r="O35" s="84">
        <v>5</v>
      </c>
      <c r="P35" s="150">
        <v>1400</v>
      </c>
      <c r="Q35" s="84">
        <v>5600</v>
      </c>
      <c r="S35"/>
      <c r="T35"/>
    </row>
    <row r="36" spans="1:20" ht="12.75">
      <c r="A36" s="98" t="s">
        <v>96</v>
      </c>
      <c r="B36" s="118"/>
      <c r="C36" s="119"/>
      <c r="D36" s="99"/>
      <c r="E36" s="100"/>
      <c r="I36" s="84" t="s">
        <v>275</v>
      </c>
      <c r="J36" s="132">
        <f t="shared" si="0"/>
        <v>0.5800000000000001</v>
      </c>
      <c r="K36" s="147">
        <v>3</v>
      </c>
      <c r="L36" s="147">
        <v>0.6</v>
      </c>
      <c r="M36" s="148">
        <v>0.45</v>
      </c>
      <c r="N36" s="149">
        <v>0.21</v>
      </c>
      <c r="O36" s="84">
        <v>5</v>
      </c>
      <c r="P36" s="150">
        <v>800</v>
      </c>
      <c r="Q36" s="84">
        <v>3200</v>
      </c>
      <c r="S36"/>
      <c r="T36"/>
    </row>
    <row r="37" spans="1:20" ht="13.5" thickBot="1">
      <c r="A37" s="125" t="s">
        <v>93</v>
      </c>
      <c r="B37" s="126">
        <v>25</v>
      </c>
      <c r="C37" s="127">
        <v>175</v>
      </c>
      <c r="D37" s="102">
        <v>50</v>
      </c>
      <c r="E37" s="103">
        <v>150</v>
      </c>
      <c r="I37" s="84" t="s">
        <v>276</v>
      </c>
      <c r="J37" s="132">
        <f t="shared" si="0"/>
        <v>0.7</v>
      </c>
      <c r="K37" s="147">
        <v>3</v>
      </c>
      <c r="L37" s="147">
        <v>0.6</v>
      </c>
      <c r="M37" s="148">
        <v>0.45</v>
      </c>
      <c r="N37" s="149">
        <v>0.21</v>
      </c>
      <c r="O37" s="84">
        <v>5</v>
      </c>
      <c r="P37" s="150">
        <v>120</v>
      </c>
      <c r="Q37" s="84">
        <v>480</v>
      </c>
      <c r="S37"/>
      <c r="T37"/>
    </row>
    <row r="38" spans="9:20" ht="12.75">
      <c r="I38" s="84" t="s">
        <v>277</v>
      </c>
      <c r="J38" s="132">
        <f t="shared" si="0"/>
        <v>0.65</v>
      </c>
      <c r="K38" s="147">
        <v>0.5</v>
      </c>
      <c r="L38" s="147">
        <v>0.1</v>
      </c>
      <c r="M38" s="148">
        <v>0.075</v>
      </c>
      <c r="N38" s="149">
        <v>0.035</v>
      </c>
      <c r="O38" s="84">
        <v>5</v>
      </c>
      <c r="P38" s="150">
        <v>120</v>
      </c>
      <c r="Q38" s="84">
        <v>480</v>
      </c>
      <c r="S38"/>
      <c r="T38"/>
    </row>
    <row r="39" spans="9:20" ht="12.75">
      <c r="I39" s="84" t="s">
        <v>278</v>
      </c>
      <c r="J39" s="132">
        <f t="shared" si="0"/>
        <v>0.19999999999999996</v>
      </c>
      <c r="K39" s="147">
        <v>9</v>
      </c>
      <c r="L39" s="147">
        <v>1.8</v>
      </c>
      <c r="M39" s="148">
        <v>1.35</v>
      </c>
      <c r="N39" s="149">
        <v>0.63</v>
      </c>
      <c r="O39" s="84">
        <v>5</v>
      </c>
      <c r="P39" s="150">
        <v>500</v>
      </c>
      <c r="Q39" s="84">
        <v>2000</v>
      </c>
      <c r="S39"/>
      <c r="T39"/>
    </row>
    <row r="40" spans="9:20" ht="12.75">
      <c r="I40" s="84" t="s">
        <v>279</v>
      </c>
      <c r="J40" s="132">
        <f t="shared" si="0"/>
        <v>0.19999999999999996</v>
      </c>
      <c r="K40" s="147">
        <v>6</v>
      </c>
      <c r="L40" s="147">
        <v>1.2</v>
      </c>
      <c r="M40" s="148">
        <v>0.9</v>
      </c>
      <c r="N40" s="149">
        <v>0.42</v>
      </c>
      <c r="O40" s="84">
        <v>5</v>
      </c>
      <c r="P40" s="150">
        <v>400</v>
      </c>
      <c r="Q40" s="84">
        <v>1600</v>
      </c>
      <c r="S40"/>
      <c r="T40"/>
    </row>
    <row r="41" spans="1:20" ht="15.75">
      <c r="A41" s="128" t="s">
        <v>225</v>
      </c>
      <c r="I41" s="84" t="s">
        <v>280</v>
      </c>
      <c r="J41" s="132">
        <f t="shared" si="0"/>
        <v>0.19999999999999996</v>
      </c>
      <c r="K41" s="147">
        <v>5</v>
      </c>
      <c r="L41" s="147">
        <v>1</v>
      </c>
      <c r="M41" s="148">
        <v>0.75</v>
      </c>
      <c r="N41" s="149">
        <v>0.35</v>
      </c>
      <c r="O41" s="84">
        <v>5</v>
      </c>
      <c r="P41" s="150">
        <v>400</v>
      </c>
      <c r="Q41" s="84">
        <v>1600</v>
      </c>
      <c r="S41"/>
      <c r="T41"/>
    </row>
    <row r="42" spans="9:20" ht="12.75">
      <c r="I42" s="84" t="s">
        <v>45</v>
      </c>
      <c r="J42" s="132">
        <f t="shared" si="0"/>
        <v>0.65</v>
      </c>
      <c r="K42" s="147">
        <v>1.5</v>
      </c>
      <c r="L42" s="147">
        <v>0.3</v>
      </c>
      <c r="M42" s="148">
        <v>0.225</v>
      </c>
      <c r="N42" s="149">
        <v>0.105</v>
      </c>
      <c r="O42" s="84">
        <v>5</v>
      </c>
      <c r="P42" s="150">
        <v>120</v>
      </c>
      <c r="Q42" s="84">
        <v>480</v>
      </c>
      <c r="S42"/>
      <c r="T42"/>
    </row>
    <row r="43" spans="9:20" ht="13.5" thickBot="1">
      <c r="I43" s="84" t="s">
        <v>46</v>
      </c>
      <c r="J43" s="132">
        <f t="shared" si="0"/>
        <v>0.65</v>
      </c>
      <c r="K43" s="147">
        <v>0.7</v>
      </c>
      <c r="L43" s="147">
        <v>0.14</v>
      </c>
      <c r="M43" s="148">
        <v>0.105</v>
      </c>
      <c r="N43" s="149">
        <v>0.049</v>
      </c>
      <c r="O43" s="84">
        <v>5</v>
      </c>
      <c r="P43" s="150">
        <v>120</v>
      </c>
      <c r="Q43" s="84">
        <v>480</v>
      </c>
      <c r="S43"/>
      <c r="T43"/>
    </row>
    <row r="44" spans="1:20" ht="13.5" thickBot="1">
      <c r="A44" s="383" t="s">
        <v>165</v>
      </c>
      <c r="B44" s="130" t="s">
        <v>166</v>
      </c>
      <c r="C44" s="246" t="s">
        <v>167</v>
      </c>
      <c r="I44" s="84" t="s">
        <v>47</v>
      </c>
      <c r="J44" s="132">
        <f t="shared" si="0"/>
        <v>0.7</v>
      </c>
      <c r="K44" s="147">
        <v>1</v>
      </c>
      <c r="L44" s="147">
        <v>0.2</v>
      </c>
      <c r="M44" s="148">
        <v>0.15</v>
      </c>
      <c r="N44" s="149">
        <v>0.07</v>
      </c>
      <c r="O44" s="84">
        <v>5</v>
      </c>
      <c r="P44" s="150">
        <v>120</v>
      </c>
      <c r="Q44" s="84">
        <v>480</v>
      </c>
      <c r="S44"/>
      <c r="T44"/>
    </row>
    <row r="45" spans="1:20" ht="12.75">
      <c r="A45" s="391" t="s">
        <v>198</v>
      </c>
      <c r="B45" s="392" t="s">
        <v>331</v>
      </c>
      <c r="C45" s="393">
        <v>0.98</v>
      </c>
      <c r="I45" s="84" t="s">
        <v>282</v>
      </c>
      <c r="J45" s="132">
        <f t="shared" si="0"/>
        <v>0.49</v>
      </c>
      <c r="K45" s="147">
        <v>4</v>
      </c>
      <c r="L45" s="147">
        <v>0.8</v>
      </c>
      <c r="M45" s="148">
        <v>0.6</v>
      </c>
      <c r="N45" s="149">
        <v>0.28</v>
      </c>
      <c r="O45" s="84">
        <v>5</v>
      </c>
      <c r="P45" s="150">
        <v>500</v>
      </c>
      <c r="Q45" s="84">
        <v>2000</v>
      </c>
      <c r="S45"/>
      <c r="T45"/>
    </row>
    <row r="46" spans="1:20" ht="12.75">
      <c r="A46" s="320" t="s">
        <v>188</v>
      </c>
      <c r="B46" s="131" t="s">
        <v>169</v>
      </c>
      <c r="C46" s="322">
        <v>0.95</v>
      </c>
      <c r="I46" s="84" t="s">
        <v>281</v>
      </c>
      <c r="J46" s="132">
        <f t="shared" si="0"/>
        <v>0.49</v>
      </c>
      <c r="K46" s="147">
        <v>4</v>
      </c>
      <c r="L46" s="147">
        <v>0.8</v>
      </c>
      <c r="M46" s="148">
        <v>0.6</v>
      </c>
      <c r="N46" s="149">
        <v>0.28</v>
      </c>
      <c r="O46" s="84">
        <v>5</v>
      </c>
      <c r="P46" s="150">
        <v>500</v>
      </c>
      <c r="Q46" s="84">
        <v>2000</v>
      </c>
      <c r="S46"/>
      <c r="T46"/>
    </row>
    <row r="47" spans="1:20" ht="12.75">
      <c r="A47" s="320" t="s">
        <v>189</v>
      </c>
      <c r="B47" s="131" t="s">
        <v>170</v>
      </c>
      <c r="C47" s="322">
        <v>0.5</v>
      </c>
      <c r="D47" s="235"/>
      <c r="I47" s="84" t="s">
        <v>283</v>
      </c>
      <c r="J47" s="132">
        <f t="shared" si="0"/>
        <v>0.43000000000000005</v>
      </c>
      <c r="K47" s="147">
        <v>1.5</v>
      </c>
      <c r="L47" s="147">
        <v>0.3</v>
      </c>
      <c r="M47" s="148">
        <v>0.225</v>
      </c>
      <c r="N47" s="149">
        <v>0.105</v>
      </c>
      <c r="O47" s="84">
        <v>5</v>
      </c>
      <c r="P47" s="150">
        <v>400</v>
      </c>
      <c r="Q47" s="84">
        <v>1600</v>
      </c>
      <c r="S47"/>
      <c r="T47"/>
    </row>
    <row r="48" spans="1:20" ht="12.75">
      <c r="A48" s="320" t="s">
        <v>190</v>
      </c>
      <c r="B48" s="131" t="s">
        <v>172</v>
      </c>
      <c r="C48" s="322">
        <v>1800</v>
      </c>
      <c r="I48" s="84" t="s">
        <v>52</v>
      </c>
      <c r="J48" s="132">
        <f t="shared" si="0"/>
        <v>0.61</v>
      </c>
      <c r="K48" s="147">
        <v>1</v>
      </c>
      <c r="L48" s="147">
        <v>0.2</v>
      </c>
      <c r="M48" s="148">
        <v>0.15</v>
      </c>
      <c r="N48" s="149">
        <v>0.07</v>
      </c>
      <c r="O48" s="84">
        <v>5</v>
      </c>
      <c r="P48" s="150">
        <v>120</v>
      </c>
      <c r="Q48" s="84">
        <v>480</v>
      </c>
      <c r="S48"/>
      <c r="T48"/>
    </row>
    <row r="49" spans="1:20" ht="12.75">
      <c r="A49" s="320" t="s">
        <v>222</v>
      </c>
      <c r="B49" s="131" t="s">
        <v>173</v>
      </c>
      <c r="C49" s="322">
        <v>120</v>
      </c>
      <c r="I49" s="84" t="s">
        <v>284</v>
      </c>
      <c r="J49" s="132">
        <f t="shared" si="0"/>
        <v>0.55</v>
      </c>
      <c r="K49" s="147">
        <v>0.8</v>
      </c>
      <c r="L49" s="147">
        <v>0.16</v>
      </c>
      <c r="M49" s="148">
        <v>0.12</v>
      </c>
      <c r="N49" s="149">
        <v>0.056</v>
      </c>
      <c r="O49" s="84">
        <v>5</v>
      </c>
      <c r="P49" s="150">
        <v>320</v>
      </c>
      <c r="Q49" s="84">
        <v>1280</v>
      </c>
      <c r="S49"/>
      <c r="T49"/>
    </row>
    <row r="50" spans="1:20" ht="12.75">
      <c r="A50" s="320" t="s">
        <v>195</v>
      </c>
      <c r="B50" s="131"/>
      <c r="C50" s="323">
        <v>0.6666666666666666</v>
      </c>
      <c r="I50" s="84" t="s">
        <v>286</v>
      </c>
      <c r="J50" s="132">
        <f t="shared" si="0"/>
        <v>0.45999999999999996</v>
      </c>
      <c r="K50" s="147">
        <v>2</v>
      </c>
      <c r="L50" s="147">
        <v>0.4</v>
      </c>
      <c r="M50" s="148">
        <v>0.3</v>
      </c>
      <c r="N50" s="149">
        <v>0.14</v>
      </c>
      <c r="O50" s="84">
        <v>5</v>
      </c>
      <c r="P50" s="150">
        <v>500</v>
      </c>
      <c r="Q50" s="84">
        <v>2000</v>
      </c>
      <c r="S50"/>
      <c r="T50"/>
    </row>
    <row r="51" spans="1:20" ht="13.5" thickBot="1">
      <c r="A51" s="320" t="s">
        <v>384</v>
      </c>
      <c r="B51" s="131" t="s">
        <v>175</v>
      </c>
      <c r="C51" s="322">
        <v>10000</v>
      </c>
      <c r="E51" s="347" t="s">
        <v>389</v>
      </c>
      <c r="I51" s="85" t="s">
        <v>285</v>
      </c>
      <c r="J51" s="132">
        <f t="shared" si="0"/>
        <v>0.45999999999999996</v>
      </c>
      <c r="K51" s="152">
        <v>2</v>
      </c>
      <c r="L51" s="152">
        <v>0.4</v>
      </c>
      <c r="M51" s="153">
        <v>0.3</v>
      </c>
      <c r="N51" s="154">
        <v>0.14</v>
      </c>
      <c r="O51" s="85">
        <v>5</v>
      </c>
      <c r="P51" s="155">
        <v>500</v>
      </c>
      <c r="Q51" s="85">
        <v>2000</v>
      </c>
      <c r="S51"/>
      <c r="T51"/>
    </row>
    <row r="52" spans="1:5" ht="12.75">
      <c r="A52" s="320" t="s">
        <v>196</v>
      </c>
      <c r="B52" s="131"/>
      <c r="C52" s="322">
        <v>0.25</v>
      </c>
      <c r="E52" s="94" t="s">
        <v>370</v>
      </c>
    </row>
    <row r="53" spans="1:3" ht="12.75">
      <c r="A53" s="320" t="s">
        <v>324</v>
      </c>
      <c r="B53" s="131" t="s">
        <v>177</v>
      </c>
      <c r="C53" s="322">
        <v>120</v>
      </c>
    </row>
    <row r="54" spans="1:3" ht="13.5" thickBot="1">
      <c r="A54" s="321" t="s">
        <v>310</v>
      </c>
      <c r="B54" s="135" t="s">
        <v>359</v>
      </c>
      <c r="C54" s="394"/>
    </row>
    <row r="55" spans="1:10" ht="13.5" thickBot="1">
      <c r="A55" s="133" t="s">
        <v>348</v>
      </c>
      <c r="B55" s="319"/>
      <c r="C55" s="246"/>
      <c r="J55" s="215">
        <v>0.2</v>
      </c>
    </row>
    <row r="56" spans="1:10" ht="12.75">
      <c r="A56" s="395" t="s">
        <v>386</v>
      </c>
      <c r="B56" s="110" t="s">
        <v>178</v>
      </c>
      <c r="C56" s="396">
        <f>IF((C54&gt;0),C54,IF((CT_ACTUAL&gt;0),CT_ACTUAL,CT_HANDLE/60+CT_CALC*CT_FACTOR)/24)</f>
        <v>37.549919066333324</v>
      </c>
      <c r="E56" s="347" t="s">
        <v>385</v>
      </c>
      <c r="J56" s="215">
        <v>0.2</v>
      </c>
    </row>
    <row r="57" spans="1:6" ht="12.75">
      <c r="A57" s="397" t="s">
        <v>197</v>
      </c>
      <c r="B57" s="131" t="s">
        <v>332</v>
      </c>
      <c r="C57" s="398">
        <v>25000</v>
      </c>
      <c r="F57" s="94" t="s">
        <v>360</v>
      </c>
    </row>
    <row r="58" spans="1:6" ht="12.75">
      <c r="A58" s="397" t="s">
        <v>191</v>
      </c>
      <c r="B58" s="131" t="s">
        <v>179</v>
      </c>
      <c r="C58" s="398">
        <f>+WS*YF</f>
        <v>23750</v>
      </c>
      <c r="F58" s="94" t="s">
        <v>387</v>
      </c>
    </row>
    <row r="59" spans="1:6" ht="12.75">
      <c r="A59" s="397" t="s">
        <v>192</v>
      </c>
      <c r="B59" s="131" t="s">
        <v>174</v>
      </c>
      <c r="C59" s="398">
        <f>-LN(1-C50)/(0.5*C49)</f>
        <v>0.01831020481113516</v>
      </c>
      <c r="F59" s="94" t="s">
        <v>388</v>
      </c>
    </row>
    <row r="60" spans="1:6" ht="13.5" thickBot="1">
      <c r="A60" s="399" t="s">
        <v>194</v>
      </c>
      <c r="B60" s="135" t="s">
        <v>176</v>
      </c>
      <c r="C60" s="400">
        <f>-LN(1-C52)/360</f>
        <v>0.0007991168679216136</v>
      </c>
      <c r="F60" s="94" t="s">
        <v>390</v>
      </c>
    </row>
    <row r="61" ht="12.75">
      <c r="F61" s="94" t="s">
        <v>391</v>
      </c>
    </row>
    <row r="63" ht="12.75">
      <c r="A63" s="347" t="s">
        <v>361</v>
      </c>
    </row>
    <row r="64" ht="12.75">
      <c r="A64" s="94" t="s">
        <v>349</v>
      </c>
    </row>
    <row r="66" ht="12.75">
      <c r="A66" s="347" t="s">
        <v>362</v>
      </c>
    </row>
    <row r="67" ht="12.75">
      <c r="A67" s="385" t="s">
        <v>371</v>
      </c>
    </row>
    <row r="69" ht="12.75">
      <c r="A69" s="347" t="s">
        <v>363</v>
      </c>
    </row>
    <row r="70" ht="12.75">
      <c r="A70" s="94" t="s">
        <v>347</v>
      </c>
    </row>
    <row r="74" ht="15.75">
      <c r="A74" s="128" t="s">
        <v>350</v>
      </c>
    </row>
    <row r="75" spans="5:8" ht="15.75">
      <c r="E75" s="235" t="s">
        <v>356</v>
      </c>
      <c r="H75" s="128" t="s">
        <v>351</v>
      </c>
    </row>
    <row r="76" spans="12:22" ht="13.5" thickBot="1">
      <c r="L76" s="235"/>
      <c r="T76" s="347" t="s">
        <v>327</v>
      </c>
      <c r="V76" s="235" t="s">
        <v>365</v>
      </c>
    </row>
    <row r="77" spans="3:9" ht="13.5" thickBot="1">
      <c r="C77" s="384" t="s">
        <v>336</v>
      </c>
      <c r="D77" s="251" t="s">
        <v>338</v>
      </c>
      <c r="E77" s="239" t="s">
        <v>337</v>
      </c>
      <c r="I77" s="235" t="s">
        <v>343</v>
      </c>
    </row>
    <row r="78" spans="3:27" ht="13.5" thickBot="1">
      <c r="C78" s="255">
        <v>1</v>
      </c>
      <c r="D78" s="257">
        <v>0</v>
      </c>
      <c r="E78" s="258">
        <f>A1W*3/5</f>
        <v>15000</v>
      </c>
      <c r="I78" s="136" t="s">
        <v>313</v>
      </c>
      <c r="J78" s="137"/>
      <c r="K78" s="259">
        <v>1</v>
      </c>
      <c r="L78" s="260">
        <v>2</v>
      </c>
      <c r="M78" s="260">
        <v>3</v>
      </c>
      <c r="N78" s="260">
        <v>4</v>
      </c>
      <c r="O78" s="260">
        <v>5</v>
      </c>
      <c r="P78" s="260">
        <v>6</v>
      </c>
      <c r="Q78" s="260">
        <v>7</v>
      </c>
      <c r="R78" s="373">
        <v>8</v>
      </c>
      <c r="S78" s="207"/>
      <c r="T78" s="377">
        <v>1</v>
      </c>
      <c r="U78" s="260">
        <v>2</v>
      </c>
      <c r="V78" s="260">
        <v>3</v>
      </c>
      <c r="W78" s="260">
        <v>4</v>
      </c>
      <c r="X78" s="260">
        <v>5</v>
      </c>
      <c r="Y78" s="260">
        <v>6</v>
      </c>
      <c r="Z78" s="260">
        <v>7</v>
      </c>
      <c r="AA78" s="380">
        <v>8</v>
      </c>
    </row>
    <row r="79" spans="3:27" ht="13.5" thickBot="1">
      <c r="C79" s="255">
        <v>2</v>
      </c>
      <c r="D79" s="252">
        <v>120</v>
      </c>
      <c r="E79" s="245">
        <f>'Input Drivers'!D17/12</f>
        <v>25000</v>
      </c>
      <c r="I79" s="136" t="s">
        <v>61</v>
      </c>
      <c r="J79" s="134"/>
      <c r="K79" s="263" t="s">
        <v>311</v>
      </c>
      <c r="L79" s="264" t="s">
        <v>311</v>
      </c>
      <c r="M79" s="264" t="s">
        <v>311</v>
      </c>
      <c r="N79" s="264" t="s">
        <v>311</v>
      </c>
      <c r="O79" s="264" t="s">
        <v>311</v>
      </c>
      <c r="P79" s="264" t="s">
        <v>311</v>
      </c>
      <c r="Q79" s="264" t="s">
        <v>311</v>
      </c>
      <c r="R79" s="374" t="s">
        <v>311</v>
      </c>
      <c r="S79" s="209" t="s">
        <v>61</v>
      </c>
      <c r="T79" s="372" t="s">
        <v>333</v>
      </c>
      <c r="U79" s="372" t="s">
        <v>333</v>
      </c>
      <c r="V79" s="372" t="s">
        <v>333</v>
      </c>
      <c r="W79" s="372" t="s">
        <v>333</v>
      </c>
      <c r="X79" s="264" t="s">
        <v>333</v>
      </c>
      <c r="Y79" s="372" t="s">
        <v>333</v>
      </c>
      <c r="Z79" s="372" t="s">
        <v>333</v>
      </c>
      <c r="AA79" s="386" t="s">
        <v>333</v>
      </c>
    </row>
    <row r="80" spans="3:27" ht="12.75">
      <c r="C80" s="255">
        <v>3</v>
      </c>
      <c r="D80" s="252"/>
      <c r="E80" s="245"/>
      <c r="I80" s="104" t="str">
        <f aca="true" t="shared" si="1" ref="I80:I122">I9</f>
        <v>CMP_Ins</v>
      </c>
      <c r="J80" s="146">
        <v>0.23</v>
      </c>
      <c r="K80" s="262">
        <v>0.23</v>
      </c>
      <c r="L80" s="121"/>
      <c r="M80" s="121"/>
      <c r="N80" s="121"/>
      <c r="O80" s="121"/>
      <c r="P80" s="121"/>
      <c r="Q80" s="121"/>
      <c r="R80" s="123"/>
      <c r="S80" s="409" t="str">
        <f aca="true" t="shared" si="2" ref="S80:S122">I9</f>
        <v>CMP_Ins</v>
      </c>
      <c r="T80" s="378">
        <f>ROUNDUP(W80/4,0)</f>
        <v>1</v>
      </c>
      <c r="U80" s="121">
        <f>ROUNDUP(W80/2,0)</f>
        <v>2</v>
      </c>
      <c r="V80" s="121">
        <f>ROUNDUP(W80*3/4,0)</f>
        <v>3</v>
      </c>
      <c r="W80" s="378">
        <v>3</v>
      </c>
      <c r="X80" s="121"/>
      <c r="Y80" s="121"/>
      <c r="Z80" s="121"/>
      <c r="AA80" s="124"/>
    </row>
    <row r="81" spans="2:27" ht="12.75">
      <c r="B81" s="8"/>
      <c r="C81" s="255">
        <v>4</v>
      </c>
      <c r="D81" s="252"/>
      <c r="E81" s="245"/>
      <c r="I81" s="412" t="str">
        <f t="shared" si="1"/>
        <v>CMP_Ins(C) </v>
      </c>
      <c r="J81" s="146">
        <v>0.23</v>
      </c>
      <c r="K81" s="247">
        <v>0.23</v>
      </c>
      <c r="L81" s="265"/>
      <c r="M81" s="265"/>
      <c r="N81" s="265"/>
      <c r="O81" s="265"/>
      <c r="P81" s="265"/>
      <c r="Q81" s="265"/>
      <c r="R81" s="375"/>
      <c r="S81" s="410" t="str">
        <f t="shared" si="2"/>
        <v>CMP_Ins(C) </v>
      </c>
      <c r="T81" s="378">
        <f aca="true" t="shared" si="3" ref="T81:T122">ROUNDUP(W81/4,0)</f>
        <v>5</v>
      </c>
      <c r="U81" s="114">
        <f aca="true" t="shared" si="4" ref="U81:U121">ROUNDUP(W81/2,0)</f>
        <v>10</v>
      </c>
      <c r="V81" s="121">
        <f aca="true" t="shared" si="5" ref="V81:V121">ROUNDUP(W81*3/4,0)</f>
        <v>15</v>
      </c>
      <c r="W81" s="252">
        <v>20</v>
      </c>
      <c r="X81" s="265"/>
      <c r="Y81" s="265"/>
      <c r="Z81" s="265"/>
      <c r="AA81" s="381"/>
    </row>
    <row r="82" spans="2:27" ht="12.75">
      <c r="B82" s="8"/>
      <c r="C82" s="255">
        <v>5</v>
      </c>
      <c r="D82" s="252"/>
      <c r="E82" s="245"/>
      <c r="I82" s="412" t="str">
        <f t="shared" si="1"/>
        <v>CMP_Ins(I)</v>
      </c>
      <c r="J82" s="146">
        <v>0.23</v>
      </c>
      <c r="K82" s="247">
        <v>0.23</v>
      </c>
      <c r="L82" s="265"/>
      <c r="M82" s="265"/>
      <c r="N82" s="265"/>
      <c r="O82" s="265"/>
      <c r="P82" s="265"/>
      <c r="Q82" s="265"/>
      <c r="R82" s="375"/>
      <c r="S82" s="410" t="str">
        <f t="shared" si="2"/>
        <v>CMP_Ins(I)</v>
      </c>
      <c r="T82" s="378">
        <f t="shared" si="3"/>
        <v>1</v>
      </c>
      <c r="U82" s="114">
        <f t="shared" si="4"/>
        <v>2</v>
      </c>
      <c r="V82" s="121">
        <f t="shared" si="5"/>
        <v>3</v>
      </c>
      <c r="W82" s="252">
        <v>3</v>
      </c>
      <c r="X82" s="265"/>
      <c r="Y82" s="265"/>
      <c r="Z82" s="265"/>
      <c r="AA82" s="381"/>
    </row>
    <row r="83" spans="1:27" ht="12.75">
      <c r="A83" s="8"/>
      <c r="C83" s="255">
        <v>6</v>
      </c>
      <c r="D83" s="252"/>
      <c r="E83" s="245"/>
      <c r="I83" s="412" t="str">
        <f t="shared" si="1"/>
        <v>CMP_Met</v>
      </c>
      <c r="J83" s="146">
        <v>0.23</v>
      </c>
      <c r="K83" s="247">
        <v>0.23</v>
      </c>
      <c r="L83" s="265"/>
      <c r="M83" s="265"/>
      <c r="N83" s="265"/>
      <c r="O83" s="265"/>
      <c r="P83" s="265"/>
      <c r="Q83" s="265"/>
      <c r="R83" s="375"/>
      <c r="S83" s="410" t="str">
        <f t="shared" si="2"/>
        <v>CMP_Met</v>
      </c>
      <c r="T83" s="378">
        <f t="shared" si="3"/>
        <v>4</v>
      </c>
      <c r="U83" s="114">
        <f t="shared" si="4"/>
        <v>7</v>
      </c>
      <c r="V83" s="121">
        <f t="shared" si="5"/>
        <v>10</v>
      </c>
      <c r="W83" s="252">
        <v>13</v>
      </c>
      <c r="X83" s="265"/>
      <c r="Y83" s="265"/>
      <c r="Z83" s="265"/>
      <c r="AA83" s="381"/>
    </row>
    <row r="84" spans="3:27" ht="12.75">
      <c r="C84" s="255">
        <v>7</v>
      </c>
      <c r="D84" s="253"/>
      <c r="E84" s="245"/>
      <c r="I84" s="412" t="str">
        <f t="shared" si="1"/>
        <v>CVD_Ins</v>
      </c>
      <c r="J84" s="146">
        <v>0.64</v>
      </c>
      <c r="K84" s="247">
        <v>0.64</v>
      </c>
      <c r="L84" s="265"/>
      <c r="M84" s="265"/>
      <c r="N84" s="265"/>
      <c r="O84" s="265"/>
      <c r="P84" s="265"/>
      <c r="Q84" s="265"/>
      <c r="R84" s="375"/>
      <c r="S84" s="410" t="str">
        <f t="shared" si="2"/>
        <v>CVD_Ins</v>
      </c>
      <c r="T84" s="378">
        <f t="shared" si="3"/>
        <v>1</v>
      </c>
      <c r="U84" s="114">
        <f t="shared" si="4"/>
        <v>2</v>
      </c>
      <c r="V84" s="121">
        <f t="shared" si="5"/>
        <v>3</v>
      </c>
      <c r="W84" s="252">
        <v>4</v>
      </c>
      <c r="X84" s="265"/>
      <c r="Y84" s="265"/>
      <c r="Z84" s="265"/>
      <c r="AA84" s="381"/>
    </row>
    <row r="85" spans="1:27" ht="13.5" thickBot="1">
      <c r="A85" s="236"/>
      <c r="C85" s="256">
        <v>8</v>
      </c>
      <c r="D85" s="254"/>
      <c r="E85" s="401"/>
      <c r="I85" s="412" t="str">
        <f t="shared" si="1"/>
        <v>CVD_Ins(C) </v>
      </c>
      <c r="J85" s="146">
        <v>0.64</v>
      </c>
      <c r="K85" s="247">
        <v>0.64</v>
      </c>
      <c r="L85" s="265"/>
      <c r="M85" s="265"/>
      <c r="N85" s="265"/>
      <c r="O85" s="265"/>
      <c r="P85" s="265"/>
      <c r="Q85" s="265"/>
      <c r="R85" s="375"/>
      <c r="S85" s="410" t="str">
        <f t="shared" si="2"/>
        <v>CVD_Ins(C) </v>
      </c>
      <c r="T85" s="378">
        <f t="shared" si="3"/>
        <v>3</v>
      </c>
      <c r="U85" s="114">
        <f t="shared" si="4"/>
        <v>5</v>
      </c>
      <c r="V85" s="121">
        <f t="shared" si="5"/>
        <v>8</v>
      </c>
      <c r="W85" s="252">
        <v>10</v>
      </c>
      <c r="X85" s="265"/>
      <c r="Y85" s="265"/>
      <c r="Z85" s="265"/>
      <c r="AA85" s="381"/>
    </row>
    <row r="86" spans="1:27" ht="12.75">
      <c r="A86" s="8"/>
      <c r="I86" s="412" t="str">
        <f>I15</f>
        <v>CVD_Ins(I)</v>
      </c>
      <c r="J86" s="146">
        <v>0.64</v>
      </c>
      <c r="K86" s="247">
        <v>0.64</v>
      </c>
      <c r="L86" s="265"/>
      <c r="M86" s="265"/>
      <c r="N86" s="265"/>
      <c r="O86" s="265"/>
      <c r="P86" s="265"/>
      <c r="Q86" s="265"/>
      <c r="R86" s="375"/>
      <c r="S86" s="410" t="str">
        <f>I15</f>
        <v>CVD_Ins(I)</v>
      </c>
      <c r="T86" s="378">
        <f t="shared" si="3"/>
        <v>1</v>
      </c>
      <c r="U86" s="114">
        <f t="shared" si="4"/>
        <v>2</v>
      </c>
      <c r="V86" s="121">
        <f t="shared" si="5"/>
        <v>3</v>
      </c>
      <c r="W86" s="252">
        <v>3</v>
      </c>
      <c r="X86" s="265"/>
      <c r="Y86" s="265"/>
      <c r="Z86" s="265"/>
      <c r="AA86" s="381"/>
    </row>
    <row r="87" spans="1:27" ht="12.75">
      <c r="A87" s="8"/>
      <c r="I87" s="412" t="str">
        <f t="shared" si="1"/>
        <v>CVD_Ins_Thin</v>
      </c>
      <c r="J87" s="146">
        <v>0.64</v>
      </c>
      <c r="K87" s="247">
        <v>0.64</v>
      </c>
      <c r="L87" s="265"/>
      <c r="M87" s="265"/>
      <c r="N87" s="265"/>
      <c r="O87" s="265"/>
      <c r="P87" s="265"/>
      <c r="Q87" s="265"/>
      <c r="R87" s="375"/>
      <c r="S87" s="410" t="str">
        <f t="shared" si="2"/>
        <v>CVD_Ins_Thin</v>
      </c>
      <c r="T87" s="378">
        <f t="shared" si="3"/>
        <v>1</v>
      </c>
      <c r="U87" s="114">
        <f t="shared" si="4"/>
        <v>1</v>
      </c>
      <c r="V87" s="121">
        <f t="shared" si="5"/>
        <v>2</v>
      </c>
      <c r="W87" s="252">
        <v>2</v>
      </c>
      <c r="X87" s="265"/>
      <c r="Y87" s="265"/>
      <c r="Z87" s="265"/>
      <c r="AA87" s="381"/>
    </row>
    <row r="88" spans="1:27" ht="12.75">
      <c r="A88" s="8"/>
      <c r="C88" s="347" t="s">
        <v>369</v>
      </c>
      <c r="I88" s="412" t="str">
        <f t="shared" si="1"/>
        <v>CVD_Met</v>
      </c>
      <c r="J88" s="146">
        <v>0.48</v>
      </c>
      <c r="K88" s="247">
        <v>0.48</v>
      </c>
      <c r="L88" s="265"/>
      <c r="M88" s="265"/>
      <c r="N88" s="265"/>
      <c r="O88" s="265"/>
      <c r="P88" s="265"/>
      <c r="Q88" s="265"/>
      <c r="R88" s="375"/>
      <c r="S88" s="410" t="str">
        <f t="shared" si="2"/>
        <v>CVD_Met</v>
      </c>
      <c r="T88" s="378">
        <f t="shared" si="3"/>
        <v>1</v>
      </c>
      <c r="U88" s="114">
        <f t="shared" si="4"/>
        <v>1</v>
      </c>
      <c r="V88" s="121">
        <f t="shared" si="5"/>
        <v>2</v>
      </c>
      <c r="W88" s="252">
        <v>2</v>
      </c>
      <c r="X88" s="265"/>
      <c r="Y88" s="265"/>
      <c r="Z88" s="265"/>
      <c r="AA88" s="381"/>
    </row>
    <row r="89" spans="1:27" ht="12.75">
      <c r="A89" s="8"/>
      <c r="C89" s="94" t="s">
        <v>366</v>
      </c>
      <c r="I89" s="412" t="str">
        <f t="shared" si="1"/>
        <v>CVD_Met(C) </v>
      </c>
      <c r="J89" s="146">
        <v>0.48</v>
      </c>
      <c r="K89" s="247">
        <v>0.48</v>
      </c>
      <c r="L89" s="265"/>
      <c r="M89" s="265"/>
      <c r="N89" s="265"/>
      <c r="O89" s="265"/>
      <c r="P89" s="265"/>
      <c r="Q89" s="265"/>
      <c r="R89" s="375"/>
      <c r="S89" s="410" t="str">
        <f t="shared" si="2"/>
        <v>CVD_Met(C) </v>
      </c>
      <c r="T89" s="378">
        <f t="shared" si="3"/>
        <v>2</v>
      </c>
      <c r="U89" s="114">
        <f t="shared" si="4"/>
        <v>3</v>
      </c>
      <c r="V89" s="121">
        <f t="shared" si="5"/>
        <v>4</v>
      </c>
      <c r="W89" s="252">
        <v>5</v>
      </c>
      <c r="X89" s="265"/>
      <c r="Y89" s="265"/>
      <c r="Z89" s="265"/>
      <c r="AA89" s="381"/>
    </row>
    <row r="90" spans="3:27" ht="12.75">
      <c r="C90" s="94" t="s">
        <v>367</v>
      </c>
      <c r="I90" s="412" t="str">
        <f t="shared" si="1"/>
        <v>CVD_MetW</v>
      </c>
      <c r="J90" s="146">
        <v>0.48</v>
      </c>
      <c r="K90" s="247">
        <v>0.48</v>
      </c>
      <c r="L90" s="265"/>
      <c r="M90" s="265"/>
      <c r="N90" s="265"/>
      <c r="O90" s="265"/>
      <c r="P90" s="265"/>
      <c r="Q90" s="265"/>
      <c r="R90" s="375"/>
      <c r="S90" s="410" t="str">
        <f t="shared" si="2"/>
        <v>CVD_MetW</v>
      </c>
      <c r="T90" s="378">
        <f t="shared" si="3"/>
        <v>1</v>
      </c>
      <c r="U90" s="114">
        <f t="shared" si="4"/>
        <v>1</v>
      </c>
      <c r="V90" s="121">
        <f t="shared" si="5"/>
        <v>2</v>
      </c>
      <c r="W90" s="252">
        <v>2</v>
      </c>
      <c r="X90" s="265"/>
      <c r="Y90" s="265"/>
      <c r="Z90" s="265"/>
      <c r="AA90" s="381"/>
    </row>
    <row r="91" spans="3:27" ht="12.75">
      <c r="C91" s="94" t="s">
        <v>368</v>
      </c>
      <c r="I91" s="412" t="str">
        <f t="shared" si="1"/>
        <v>CVD_MetW(C) </v>
      </c>
      <c r="J91" s="146">
        <v>0.48</v>
      </c>
      <c r="K91" s="247">
        <v>0.48</v>
      </c>
      <c r="L91" s="265"/>
      <c r="M91" s="265"/>
      <c r="N91" s="265"/>
      <c r="O91" s="265"/>
      <c r="P91" s="265"/>
      <c r="Q91" s="265"/>
      <c r="R91" s="375"/>
      <c r="S91" s="410" t="str">
        <f t="shared" si="2"/>
        <v>CVD_MetW(C) </v>
      </c>
      <c r="T91" s="378">
        <f t="shared" si="3"/>
        <v>2</v>
      </c>
      <c r="U91" s="114">
        <f t="shared" si="4"/>
        <v>3</v>
      </c>
      <c r="V91" s="121">
        <f t="shared" si="5"/>
        <v>4</v>
      </c>
      <c r="W91" s="252">
        <v>5</v>
      </c>
      <c r="X91" s="265"/>
      <c r="Y91" s="265"/>
      <c r="Z91" s="265"/>
      <c r="AA91" s="381"/>
    </row>
    <row r="92" spans="9:27" ht="12.75">
      <c r="I92" s="412" t="str">
        <f t="shared" si="1"/>
        <v>Dry_Etch</v>
      </c>
      <c r="J92" s="146">
        <v>0.59</v>
      </c>
      <c r="K92" s="247">
        <v>0.59</v>
      </c>
      <c r="L92" s="265"/>
      <c r="M92" s="265"/>
      <c r="N92" s="265"/>
      <c r="O92" s="265"/>
      <c r="P92" s="265"/>
      <c r="Q92" s="265"/>
      <c r="R92" s="375"/>
      <c r="S92" s="410" t="str">
        <f t="shared" si="2"/>
        <v>Dry_Etch</v>
      </c>
      <c r="T92" s="378">
        <f t="shared" si="3"/>
        <v>1</v>
      </c>
      <c r="U92" s="114">
        <f t="shared" si="4"/>
        <v>2</v>
      </c>
      <c r="V92" s="121">
        <f t="shared" si="5"/>
        <v>3</v>
      </c>
      <c r="W92" s="252">
        <v>3</v>
      </c>
      <c r="X92" s="265"/>
      <c r="Y92" s="265"/>
      <c r="Z92" s="265"/>
      <c r="AA92" s="381"/>
    </row>
    <row r="93" spans="3:27" ht="12.75">
      <c r="C93" s="235" t="s">
        <v>364</v>
      </c>
      <c r="I93" s="412" t="str">
        <f t="shared" si="1"/>
        <v>Dry_Etch(A)</v>
      </c>
      <c r="J93" s="146">
        <v>0.53</v>
      </c>
      <c r="K93" s="247">
        <v>0.53</v>
      </c>
      <c r="L93" s="265"/>
      <c r="M93" s="265"/>
      <c r="N93" s="265"/>
      <c r="O93" s="265"/>
      <c r="P93" s="265"/>
      <c r="Q93" s="265"/>
      <c r="R93" s="375"/>
      <c r="S93" s="410" t="str">
        <f t="shared" si="2"/>
        <v>Dry_Etch(A)</v>
      </c>
      <c r="T93" s="378">
        <f t="shared" si="3"/>
        <v>1</v>
      </c>
      <c r="U93" s="114">
        <f t="shared" si="4"/>
        <v>2</v>
      </c>
      <c r="V93" s="121">
        <f t="shared" si="5"/>
        <v>3</v>
      </c>
      <c r="W93" s="252">
        <v>3</v>
      </c>
      <c r="X93" s="265"/>
      <c r="Y93" s="265"/>
      <c r="Z93" s="265"/>
      <c r="AA93" s="381"/>
    </row>
    <row r="94" spans="9:27" ht="12.75">
      <c r="I94" s="412" t="str">
        <f t="shared" si="1"/>
        <v>Dry_Etch(C) </v>
      </c>
      <c r="J94" s="146">
        <v>0.53</v>
      </c>
      <c r="K94" s="247">
        <v>0.53</v>
      </c>
      <c r="L94" s="265"/>
      <c r="M94" s="265"/>
      <c r="N94" s="265"/>
      <c r="O94" s="265"/>
      <c r="P94" s="265"/>
      <c r="Q94" s="265"/>
      <c r="R94" s="375"/>
      <c r="S94" s="410" t="str">
        <f t="shared" si="2"/>
        <v>Dry_Etch(C) </v>
      </c>
      <c r="T94" s="378">
        <f t="shared" si="3"/>
        <v>4</v>
      </c>
      <c r="U94" s="114">
        <f t="shared" si="4"/>
        <v>7</v>
      </c>
      <c r="V94" s="121">
        <f t="shared" si="5"/>
        <v>11</v>
      </c>
      <c r="W94" s="252">
        <v>14</v>
      </c>
      <c r="X94" s="265"/>
      <c r="Y94" s="265"/>
      <c r="Z94" s="265"/>
      <c r="AA94" s="381"/>
    </row>
    <row r="95" spans="9:27" ht="12.75">
      <c r="I95" s="412" t="str">
        <f t="shared" si="1"/>
        <v>Dry_Etch(I)</v>
      </c>
      <c r="J95" s="146">
        <v>0.53</v>
      </c>
      <c r="K95" s="247">
        <v>0.53</v>
      </c>
      <c r="L95" s="265"/>
      <c r="M95" s="265"/>
      <c r="N95" s="265"/>
      <c r="O95" s="265"/>
      <c r="P95" s="265"/>
      <c r="Q95" s="265"/>
      <c r="R95" s="375"/>
      <c r="S95" s="410" t="str">
        <f t="shared" si="2"/>
        <v>Dry_Etch(I)</v>
      </c>
      <c r="T95" s="378">
        <f t="shared" si="3"/>
        <v>2</v>
      </c>
      <c r="U95" s="114">
        <f t="shared" si="4"/>
        <v>4</v>
      </c>
      <c r="V95" s="121">
        <f t="shared" si="5"/>
        <v>6</v>
      </c>
      <c r="W95" s="252">
        <v>7</v>
      </c>
      <c r="X95" s="265"/>
      <c r="Y95" s="265"/>
      <c r="Z95" s="265"/>
      <c r="AA95" s="381"/>
    </row>
    <row r="96" spans="1:27" ht="15.75">
      <c r="A96" s="128" t="s">
        <v>345</v>
      </c>
      <c r="I96" s="412" t="str">
        <f t="shared" si="1"/>
        <v>Dry_Etch_Met</v>
      </c>
      <c r="J96" s="146">
        <v>0.59</v>
      </c>
      <c r="K96" s="247">
        <v>0.59</v>
      </c>
      <c r="L96" s="265"/>
      <c r="M96" s="265"/>
      <c r="N96" s="265"/>
      <c r="O96" s="265"/>
      <c r="P96" s="265"/>
      <c r="Q96" s="265"/>
      <c r="R96" s="375"/>
      <c r="S96" s="410" t="str">
        <f t="shared" si="2"/>
        <v>Dry_Etch_Met</v>
      </c>
      <c r="T96" s="378">
        <f t="shared" si="3"/>
        <v>3</v>
      </c>
      <c r="U96" s="114">
        <f t="shared" si="4"/>
        <v>5</v>
      </c>
      <c r="V96" s="121">
        <f t="shared" si="5"/>
        <v>8</v>
      </c>
      <c r="W96" s="252">
        <v>10</v>
      </c>
      <c r="X96" s="265"/>
      <c r="Y96" s="265"/>
      <c r="Z96" s="265"/>
      <c r="AA96" s="381"/>
    </row>
    <row r="97" spans="9:27" ht="12.75">
      <c r="I97" s="412" t="str">
        <f t="shared" si="1"/>
        <v>Dry_Strip</v>
      </c>
      <c r="J97" s="146">
        <v>0.65</v>
      </c>
      <c r="K97" s="247">
        <v>0.65</v>
      </c>
      <c r="L97" s="265"/>
      <c r="M97" s="265"/>
      <c r="N97" s="265"/>
      <c r="O97" s="265"/>
      <c r="P97" s="265"/>
      <c r="Q97" s="265"/>
      <c r="R97" s="375"/>
      <c r="S97" s="410" t="str">
        <f t="shared" si="2"/>
        <v>Dry_Strip</v>
      </c>
      <c r="T97" s="378">
        <f t="shared" si="3"/>
        <v>1</v>
      </c>
      <c r="U97" s="114">
        <f t="shared" si="4"/>
        <v>1</v>
      </c>
      <c r="V97" s="121">
        <f t="shared" si="5"/>
        <v>2</v>
      </c>
      <c r="W97" s="252">
        <v>2</v>
      </c>
      <c r="X97" s="265"/>
      <c r="Y97" s="265"/>
      <c r="Z97" s="265"/>
      <c r="AA97" s="381"/>
    </row>
    <row r="98" spans="2:27" ht="12.75">
      <c r="B98" s="347" t="s">
        <v>344</v>
      </c>
      <c r="F98" s="235" t="s">
        <v>314</v>
      </c>
      <c r="I98" s="412" t="str">
        <f t="shared" si="1"/>
        <v>Dry_Strip(D)</v>
      </c>
      <c r="J98" s="146">
        <v>0.65</v>
      </c>
      <c r="K98" s="247">
        <v>0.65</v>
      </c>
      <c r="L98" s="265"/>
      <c r="M98" s="265"/>
      <c r="N98" s="265"/>
      <c r="O98" s="265"/>
      <c r="P98" s="265"/>
      <c r="Q98" s="265"/>
      <c r="R98" s="375"/>
      <c r="S98" s="410" t="str">
        <f t="shared" si="2"/>
        <v>Dry_Strip(D)</v>
      </c>
      <c r="T98" s="378">
        <f t="shared" si="3"/>
        <v>1</v>
      </c>
      <c r="U98" s="114">
        <f t="shared" si="4"/>
        <v>1</v>
      </c>
      <c r="V98" s="121">
        <f t="shared" si="5"/>
        <v>2</v>
      </c>
      <c r="W98" s="252">
        <v>2</v>
      </c>
      <c r="X98" s="265"/>
      <c r="Y98" s="265"/>
      <c r="Z98" s="265"/>
      <c r="AA98" s="381"/>
    </row>
    <row r="99" spans="2:27" ht="12.75">
      <c r="B99" s="235" t="s">
        <v>317</v>
      </c>
      <c r="I99" s="412" t="str">
        <f t="shared" si="1"/>
        <v>Dry_Strip(I)</v>
      </c>
      <c r="J99" s="146">
        <v>0.65</v>
      </c>
      <c r="K99" s="247">
        <v>0.65</v>
      </c>
      <c r="L99" s="265"/>
      <c r="M99" s="265"/>
      <c r="N99" s="265"/>
      <c r="O99" s="265"/>
      <c r="P99" s="265"/>
      <c r="Q99" s="265"/>
      <c r="R99" s="375"/>
      <c r="S99" s="410" t="str">
        <f t="shared" si="2"/>
        <v>Dry_Strip(I)</v>
      </c>
      <c r="T99" s="378">
        <f t="shared" si="3"/>
        <v>2</v>
      </c>
      <c r="U99" s="114">
        <f t="shared" si="4"/>
        <v>3</v>
      </c>
      <c r="V99" s="121">
        <f t="shared" si="5"/>
        <v>5</v>
      </c>
      <c r="W99" s="252">
        <v>6</v>
      </c>
      <c r="X99" s="265"/>
      <c r="Y99" s="265"/>
      <c r="Z99" s="265"/>
      <c r="AA99" s="381"/>
    </row>
    <row r="100" spans="2:27" ht="12.75">
      <c r="B100" s="94" t="s">
        <v>339</v>
      </c>
      <c r="I100" s="412" t="str">
        <f t="shared" si="1"/>
        <v>Furn_FastRmp</v>
      </c>
      <c r="J100" s="146">
        <v>0.5</v>
      </c>
      <c r="K100" s="247">
        <v>0.5</v>
      </c>
      <c r="L100" s="265"/>
      <c r="M100" s="265"/>
      <c r="N100" s="265"/>
      <c r="O100" s="265"/>
      <c r="P100" s="265"/>
      <c r="Q100" s="265"/>
      <c r="R100" s="375"/>
      <c r="S100" s="410" t="str">
        <f t="shared" si="2"/>
        <v>Furn_FastRmp</v>
      </c>
      <c r="T100" s="378">
        <f t="shared" si="3"/>
        <v>3</v>
      </c>
      <c r="U100" s="114">
        <f t="shared" si="4"/>
        <v>5</v>
      </c>
      <c r="V100" s="121">
        <f t="shared" si="5"/>
        <v>7</v>
      </c>
      <c r="W100" s="252">
        <v>9</v>
      </c>
      <c r="X100" s="265"/>
      <c r="Y100" s="265"/>
      <c r="Z100" s="265"/>
      <c r="AA100" s="381"/>
    </row>
    <row r="101" spans="2:27" ht="12.75">
      <c r="B101" s="94" t="s">
        <v>340</v>
      </c>
      <c r="I101" s="412" t="str">
        <f t="shared" si="1"/>
        <v>Furn_Nitr</v>
      </c>
      <c r="J101" s="146">
        <v>0.5</v>
      </c>
      <c r="K101" s="247">
        <v>0.5</v>
      </c>
      <c r="L101" s="265"/>
      <c r="M101" s="265"/>
      <c r="N101" s="265"/>
      <c r="O101" s="265"/>
      <c r="P101" s="265"/>
      <c r="Q101" s="265"/>
      <c r="R101" s="375"/>
      <c r="S101" s="410" t="str">
        <f t="shared" si="2"/>
        <v>Furn_Nitr</v>
      </c>
      <c r="T101" s="378">
        <f t="shared" si="3"/>
        <v>1</v>
      </c>
      <c r="U101" s="114">
        <f t="shared" si="4"/>
        <v>2</v>
      </c>
      <c r="V101" s="121">
        <f t="shared" si="5"/>
        <v>3</v>
      </c>
      <c r="W101" s="252">
        <v>3</v>
      </c>
      <c r="X101" s="265"/>
      <c r="Y101" s="265"/>
      <c r="Z101" s="265"/>
      <c r="AA101" s="381"/>
    </row>
    <row r="102" spans="2:27" ht="12.75">
      <c r="B102" s="94" t="s">
        <v>328</v>
      </c>
      <c r="I102" s="412" t="str">
        <f t="shared" si="1"/>
        <v>Furn_OxAn</v>
      </c>
      <c r="J102" s="146">
        <v>0.5</v>
      </c>
      <c r="K102" s="247">
        <v>0.5</v>
      </c>
      <c r="L102" s="265"/>
      <c r="M102" s="265"/>
      <c r="N102" s="265"/>
      <c r="O102" s="265"/>
      <c r="P102" s="265"/>
      <c r="Q102" s="265"/>
      <c r="R102" s="375"/>
      <c r="S102" s="410" t="str">
        <f t="shared" si="2"/>
        <v>Furn_OxAn</v>
      </c>
      <c r="T102" s="378">
        <f t="shared" si="3"/>
        <v>4</v>
      </c>
      <c r="U102" s="114">
        <f t="shared" si="4"/>
        <v>7</v>
      </c>
      <c r="V102" s="121">
        <f t="shared" si="5"/>
        <v>11</v>
      </c>
      <c r="W102" s="252">
        <v>14</v>
      </c>
      <c r="X102" s="265"/>
      <c r="Y102" s="265"/>
      <c r="Z102" s="265"/>
      <c r="AA102" s="381"/>
    </row>
    <row r="103" spans="9:27" ht="12.75">
      <c r="I103" s="412" t="str">
        <f t="shared" si="1"/>
        <v>Furn_OxAn(I)</v>
      </c>
      <c r="J103" s="146">
        <v>0.5</v>
      </c>
      <c r="K103" s="247">
        <v>0.5</v>
      </c>
      <c r="L103" s="265"/>
      <c r="M103" s="265"/>
      <c r="N103" s="265"/>
      <c r="O103" s="265"/>
      <c r="P103" s="265"/>
      <c r="Q103" s="265"/>
      <c r="R103" s="375"/>
      <c r="S103" s="410" t="str">
        <f t="shared" si="2"/>
        <v>Furn_OxAn(I)</v>
      </c>
      <c r="T103" s="378">
        <f t="shared" si="3"/>
        <v>1</v>
      </c>
      <c r="U103" s="114">
        <f t="shared" si="4"/>
        <v>2</v>
      </c>
      <c r="V103" s="121">
        <f t="shared" si="5"/>
        <v>3</v>
      </c>
      <c r="W103" s="252">
        <v>4</v>
      </c>
      <c r="X103" s="265"/>
      <c r="Y103" s="265"/>
      <c r="Z103" s="265"/>
      <c r="AA103" s="381"/>
    </row>
    <row r="104" spans="9:27" ht="12.75">
      <c r="I104" s="412" t="str">
        <f t="shared" si="1"/>
        <v>Furn_Poly</v>
      </c>
      <c r="J104" s="146">
        <v>0.5</v>
      </c>
      <c r="K104" s="247">
        <v>0.5</v>
      </c>
      <c r="L104" s="265"/>
      <c r="M104" s="265"/>
      <c r="N104" s="265"/>
      <c r="O104" s="265"/>
      <c r="P104" s="265"/>
      <c r="Q104" s="265"/>
      <c r="R104" s="375"/>
      <c r="S104" s="410" t="str">
        <f t="shared" si="2"/>
        <v>Furn_Poly</v>
      </c>
      <c r="T104" s="378">
        <f t="shared" si="3"/>
        <v>1</v>
      </c>
      <c r="U104" s="114">
        <f t="shared" si="4"/>
        <v>2</v>
      </c>
      <c r="V104" s="121">
        <f t="shared" si="5"/>
        <v>3</v>
      </c>
      <c r="W104" s="252">
        <v>3</v>
      </c>
      <c r="X104" s="265"/>
      <c r="Y104" s="265"/>
      <c r="Z104" s="265"/>
      <c r="AA104" s="381"/>
    </row>
    <row r="105" spans="9:27" ht="12.75">
      <c r="I105" s="412" t="str">
        <f t="shared" si="1"/>
        <v>Furn_TEOS</v>
      </c>
      <c r="J105" s="146">
        <v>0.5</v>
      </c>
      <c r="K105" s="247">
        <v>0.5</v>
      </c>
      <c r="L105" s="265"/>
      <c r="M105" s="265"/>
      <c r="N105" s="265"/>
      <c r="O105" s="265"/>
      <c r="P105" s="265"/>
      <c r="Q105" s="265"/>
      <c r="R105" s="375"/>
      <c r="S105" s="410" t="str">
        <f t="shared" si="2"/>
        <v>Furn_TEOS</v>
      </c>
      <c r="T105" s="378">
        <f t="shared" si="3"/>
        <v>1</v>
      </c>
      <c r="U105" s="114">
        <f t="shared" si="4"/>
        <v>2</v>
      </c>
      <c r="V105" s="121">
        <f t="shared" si="5"/>
        <v>3</v>
      </c>
      <c r="W105" s="252">
        <v>3</v>
      </c>
      <c r="X105" s="265"/>
      <c r="Y105" s="265"/>
      <c r="Z105" s="265"/>
      <c r="AA105" s="381"/>
    </row>
    <row r="106" spans="9:27" ht="12.75">
      <c r="I106" s="412" t="str">
        <f t="shared" si="1"/>
        <v>Implant_HiE</v>
      </c>
      <c r="J106" s="146">
        <v>0.37</v>
      </c>
      <c r="K106" s="247">
        <v>0.37</v>
      </c>
      <c r="L106" s="265"/>
      <c r="M106" s="265"/>
      <c r="N106" s="265"/>
      <c r="O106" s="265"/>
      <c r="P106" s="265"/>
      <c r="Q106" s="265"/>
      <c r="R106" s="375"/>
      <c r="S106" s="410" t="str">
        <f t="shared" si="2"/>
        <v>Implant_HiE</v>
      </c>
      <c r="T106" s="378">
        <f t="shared" si="3"/>
        <v>1</v>
      </c>
      <c r="U106" s="114">
        <f t="shared" si="4"/>
        <v>1</v>
      </c>
      <c r="V106" s="121">
        <f t="shared" si="5"/>
        <v>2</v>
      </c>
      <c r="W106" s="252">
        <v>2</v>
      </c>
      <c r="X106" s="265"/>
      <c r="Y106" s="265"/>
      <c r="Z106" s="265"/>
      <c r="AA106" s="381"/>
    </row>
    <row r="107" spans="9:27" ht="12.75">
      <c r="I107" s="412" t="str">
        <f t="shared" si="1"/>
        <v>Implant_LoE</v>
      </c>
      <c r="J107" s="146">
        <v>0.42</v>
      </c>
      <c r="K107" s="247">
        <v>0.42</v>
      </c>
      <c r="L107" s="265"/>
      <c r="M107" s="265"/>
      <c r="N107" s="265"/>
      <c r="O107" s="265"/>
      <c r="P107" s="265"/>
      <c r="Q107" s="265"/>
      <c r="R107" s="375"/>
      <c r="S107" s="410" t="str">
        <f t="shared" si="2"/>
        <v>Implant_LoE</v>
      </c>
      <c r="T107" s="378">
        <f t="shared" si="3"/>
        <v>1</v>
      </c>
      <c r="U107" s="114">
        <f t="shared" si="4"/>
        <v>2</v>
      </c>
      <c r="V107" s="121">
        <f t="shared" si="5"/>
        <v>3</v>
      </c>
      <c r="W107" s="252">
        <v>4</v>
      </c>
      <c r="X107" s="265"/>
      <c r="Y107" s="265"/>
      <c r="Z107" s="265"/>
      <c r="AA107" s="381"/>
    </row>
    <row r="108" spans="2:27" ht="12.75">
      <c r="B108" s="347" t="s">
        <v>335</v>
      </c>
      <c r="F108" s="235" t="s">
        <v>314</v>
      </c>
      <c r="I108" s="412" t="str">
        <f t="shared" si="1"/>
        <v>Insp_PLY</v>
      </c>
      <c r="J108" s="146">
        <v>0.3</v>
      </c>
      <c r="K108" s="247">
        <v>0.3</v>
      </c>
      <c r="L108" s="265"/>
      <c r="M108" s="265"/>
      <c r="N108" s="265"/>
      <c r="O108" s="265"/>
      <c r="P108" s="265"/>
      <c r="Q108" s="265"/>
      <c r="R108" s="375"/>
      <c r="S108" s="410" t="str">
        <f t="shared" si="2"/>
        <v>Insp_PLY</v>
      </c>
      <c r="T108" s="378">
        <f t="shared" si="3"/>
        <v>7</v>
      </c>
      <c r="U108" s="114">
        <f t="shared" si="4"/>
        <v>13</v>
      </c>
      <c r="V108" s="121">
        <f t="shared" si="5"/>
        <v>19</v>
      </c>
      <c r="W108" s="252">
        <v>25</v>
      </c>
      <c r="X108" s="265"/>
      <c r="Y108" s="265"/>
      <c r="Z108" s="265"/>
      <c r="AA108" s="381"/>
    </row>
    <row r="109" spans="2:27" ht="12.75">
      <c r="B109" s="235" t="s">
        <v>317</v>
      </c>
      <c r="I109" s="412" t="str">
        <f t="shared" si="1"/>
        <v>Insp_Visual</v>
      </c>
      <c r="J109" s="146">
        <v>0.35</v>
      </c>
      <c r="K109" s="247">
        <v>0.35</v>
      </c>
      <c r="L109" s="265"/>
      <c r="M109" s="265"/>
      <c r="N109" s="265"/>
      <c r="O109" s="265"/>
      <c r="P109" s="265"/>
      <c r="Q109" s="265"/>
      <c r="R109" s="375"/>
      <c r="S109" s="410" t="str">
        <f t="shared" si="2"/>
        <v>Insp_Visual</v>
      </c>
      <c r="T109" s="378">
        <f t="shared" si="3"/>
        <v>1</v>
      </c>
      <c r="U109" s="114">
        <f t="shared" si="4"/>
        <v>1</v>
      </c>
      <c r="V109" s="121">
        <f t="shared" si="5"/>
        <v>1</v>
      </c>
      <c r="W109" s="252">
        <v>1</v>
      </c>
      <c r="X109" s="265"/>
      <c r="Y109" s="265"/>
      <c r="Z109" s="265"/>
      <c r="AA109" s="381"/>
    </row>
    <row r="110" spans="2:27" ht="12.75">
      <c r="B110" s="94" t="s">
        <v>346</v>
      </c>
      <c r="I110" s="412" t="str">
        <f t="shared" si="1"/>
        <v>Litho_248</v>
      </c>
      <c r="J110" s="146">
        <v>0.8</v>
      </c>
      <c r="K110" s="247">
        <v>0.8</v>
      </c>
      <c r="L110" s="265"/>
      <c r="M110" s="265"/>
      <c r="N110" s="265"/>
      <c r="O110" s="265"/>
      <c r="P110" s="265"/>
      <c r="Q110" s="265"/>
      <c r="R110" s="375"/>
      <c r="S110" s="410" t="str">
        <f t="shared" si="2"/>
        <v>Litho_248</v>
      </c>
      <c r="T110" s="378">
        <f t="shared" si="3"/>
        <v>1</v>
      </c>
      <c r="U110" s="114">
        <f t="shared" si="4"/>
        <v>2</v>
      </c>
      <c r="V110" s="121">
        <f t="shared" si="5"/>
        <v>3</v>
      </c>
      <c r="W110" s="252">
        <v>4</v>
      </c>
      <c r="X110" s="265"/>
      <c r="Y110" s="265"/>
      <c r="Z110" s="265"/>
      <c r="AA110" s="381"/>
    </row>
    <row r="111" spans="2:27" ht="12.75">
      <c r="B111" s="94" t="s">
        <v>341</v>
      </c>
      <c r="I111" s="412" t="str">
        <f t="shared" si="1"/>
        <v>Litho_I</v>
      </c>
      <c r="J111" s="146">
        <v>0.8</v>
      </c>
      <c r="K111" s="247">
        <v>0.8</v>
      </c>
      <c r="L111" s="265"/>
      <c r="M111" s="265"/>
      <c r="N111" s="265"/>
      <c r="O111" s="265"/>
      <c r="P111" s="265"/>
      <c r="Q111" s="265"/>
      <c r="R111" s="375"/>
      <c r="S111" s="410" t="str">
        <f t="shared" si="2"/>
        <v>Litho_I</v>
      </c>
      <c r="T111" s="378">
        <f t="shared" si="3"/>
        <v>3</v>
      </c>
      <c r="U111" s="114">
        <f t="shared" si="4"/>
        <v>6</v>
      </c>
      <c r="V111" s="121">
        <f t="shared" si="5"/>
        <v>9</v>
      </c>
      <c r="W111" s="252">
        <v>11</v>
      </c>
      <c r="X111" s="265"/>
      <c r="Y111" s="265"/>
      <c r="Z111" s="265"/>
      <c r="AA111" s="381"/>
    </row>
    <row r="112" spans="2:27" ht="12.75">
      <c r="B112" s="94" t="s">
        <v>328</v>
      </c>
      <c r="I112" s="412" t="str">
        <f t="shared" si="1"/>
        <v>Litho_Iw</v>
      </c>
      <c r="J112" s="146">
        <v>0.8</v>
      </c>
      <c r="K112" s="247">
        <v>0.8</v>
      </c>
      <c r="L112" s="265"/>
      <c r="M112" s="265"/>
      <c r="N112" s="265"/>
      <c r="O112" s="265"/>
      <c r="P112" s="265"/>
      <c r="Q112" s="265"/>
      <c r="R112" s="375"/>
      <c r="S112" s="410" t="str">
        <f t="shared" si="2"/>
        <v>Litho_Iw</v>
      </c>
      <c r="T112" s="378">
        <f t="shared" si="3"/>
        <v>3</v>
      </c>
      <c r="U112" s="114">
        <f t="shared" si="4"/>
        <v>6</v>
      </c>
      <c r="V112" s="121">
        <f t="shared" si="5"/>
        <v>9</v>
      </c>
      <c r="W112" s="252">
        <v>11</v>
      </c>
      <c r="X112" s="265"/>
      <c r="Y112" s="265"/>
      <c r="Z112" s="265"/>
      <c r="AA112" s="381"/>
    </row>
    <row r="113" spans="9:27" ht="12.75">
      <c r="I113" s="412" t="str">
        <f t="shared" si="1"/>
        <v>Meas_CD</v>
      </c>
      <c r="J113" s="146">
        <v>0.35</v>
      </c>
      <c r="K113" s="247">
        <v>0.35</v>
      </c>
      <c r="L113" s="265"/>
      <c r="M113" s="265"/>
      <c r="N113" s="265"/>
      <c r="O113" s="265"/>
      <c r="P113" s="265"/>
      <c r="Q113" s="265"/>
      <c r="R113" s="375"/>
      <c r="S113" s="410" t="str">
        <f t="shared" si="2"/>
        <v>Meas_CD</v>
      </c>
      <c r="T113" s="378">
        <f t="shared" si="3"/>
        <v>4</v>
      </c>
      <c r="U113" s="114">
        <f t="shared" si="4"/>
        <v>8</v>
      </c>
      <c r="V113" s="121">
        <f t="shared" si="5"/>
        <v>12</v>
      </c>
      <c r="W113" s="252">
        <v>15</v>
      </c>
      <c r="X113" s="265"/>
      <c r="Y113" s="265"/>
      <c r="Z113" s="265"/>
      <c r="AA113" s="381"/>
    </row>
    <row r="114" spans="9:27" ht="12.75">
      <c r="I114" s="412" t="str">
        <f t="shared" si="1"/>
        <v>Meas_Film</v>
      </c>
      <c r="J114" s="146">
        <v>0.35</v>
      </c>
      <c r="K114" s="247">
        <v>0.35</v>
      </c>
      <c r="L114" s="265"/>
      <c r="M114" s="265"/>
      <c r="N114" s="265"/>
      <c r="O114" s="265"/>
      <c r="P114" s="265"/>
      <c r="Q114" s="265"/>
      <c r="R114" s="375"/>
      <c r="S114" s="410" t="str">
        <f t="shared" si="2"/>
        <v>Meas_Film</v>
      </c>
      <c r="T114" s="378">
        <f t="shared" si="3"/>
        <v>3</v>
      </c>
      <c r="U114" s="114">
        <f t="shared" si="4"/>
        <v>6</v>
      </c>
      <c r="V114" s="121">
        <f t="shared" si="5"/>
        <v>9</v>
      </c>
      <c r="W114" s="252">
        <v>12</v>
      </c>
      <c r="X114" s="265"/>
      <c r="Y114" s="265"/>
      <c r="Z114" s="265"/>
      <c r="AA114" s="381"/>
    </row>
    <row r="115" spans="9:27" ht="12.75">
      <c r="I115" s="412" t="str">
        <f t="shared" si="1"/>
        <v>Meas_Overlay</v>
      </c>
      <c r="J115" s="146">
        <v>0.3</v>
      </c>
      <c r="K115" s="247">
        <v>0.3</v>
      </c>
      <c r="L115" s="265"/>
      <c r="M115" s="265"/>
      <c r="N115" s="265"/>
      <c r="O115" s="265"/>
      <c r="P115" s="265"/>
      <c r="Q115" s="265"/>
      <c r="R115" s="375"/>
      <c r="S115" s="410" t="str">
        <f t="shared" si="2"/>
        <v>Meas_Overlay</v>
      </c>
      <c r="T115" s="378">
        <f t="shared" si="3"/>
        <v>3</v>
      </c>
      <c r="U115" s="114">
        <f t="shared" si="4"/>
        <v>6</v>
      </c>
      <c r="V115" s="121">
        <f t="shared" si="5"/>
        <v>9</v>
      </c>
      <c r="W115" s="252">
        <v>11</v>
      </c>
      <c r="X115" s="265"/>
      <c r="Y115" s="265"/>
      <c r="Z115" s="265"/>
      <c r="AA115" s="381"/>
    </row>
    <row r="116" spans="9:27" ht="12.75">
      <c r="I116" s="412" t="str">
        <f t="shared" si="1"/>
        <v>PVD_Met</v>
      </c>
      <c r="J116" s="146">
        <v>0.51</v>
      </c>
      <c r="K116" s="247">
        <v>0.51</v>
      </c>
      <c r="L116" s="265"/>
      <c r="M116" s="265"/>
      <c r="N116" s="265"/>
      <c r="O116" s="265"/>
      <c r="P116" s="265"/>
      <c r="Q116" s="265"/>
      <c r="R116" s="375"/>
      <c r="S116" s="410" t="str">
        <f t="shared" si="2"/>
        <v>PVD_Met</v>
      </c>
      <c r="T116" s="378">
        <f t="shared" si="3"/>
        <v>1</v>
      </c>
      <c r="U116" s="114">
        <f t="shared" si="4"/>
        <v>1</v>
      </c>
      <c r="V116" s="121">
        <f t="shared" si="5"/>
        <v>2</v>
      </c>
      <c r="W116" s="252">
        <v>2</v>
      </c>
      <c r="X116" s="265"/>
      <c r="Y116" s="265"/>
      <c r="Z116" s="265"/>
      <c r="AA116" s="381"/>
    </row>
    <row r="117" spans="9:27" ht="12.75">
      <c r="I117" s="412" t="str">
        <f t="shared" si="1"/>
        <v>PVD_Met(C) </v>
      </c>
      <c r="J117" s="146">
        <v>0.51</v>
      </c>
      <c r="K117" s="247">
        <v>0.51</v>
      </c>
      <c r="L117" s="265"/>
      <c r="M117" s="265"/>
      <c r="N117" s="265"/>
      <c r="O117" s="265"/>
      <c r="P117" s="265"/>
      <c r="Q117" s="265"/>
      <c r="R117" s="375"/>
      <c r="S117" s="410" t="str">
        <f t="shared" si="2"/>
        <v>PVD_Met(C) </v>
      </c>
      <c r="T117" s="378">
        <f t="shared" si="3"/>
        <v>3</v>
      </c>
      <c r="U117" s="114">
        <f t="shared" si="4"/>
        <v>5</v>
      </c>
      <c r="V117" s="121">
        <f t="shared" si="5"/>
        <v>7</v>
      </c>
      <c r="W117" s="252">
        <v>9</v>
      </c>
      <c r="X117" s="265"/>
      <c r="Y117" s="265"/>
      <c r="Z117" s="265"/>
      <c r="AA117" s="381"/>
    </row>
    <row r="118" spans="9:27" ht="12.75">
      <c r="I118" s="412" t="str">
        <f t="shared" si="1"/>
        <v>RTP_OxAn(C) </v>
      </c>
      <c r="J118" s="146">
        <v>0.57</v>
      </c>
      <c r="K118" s="247">
        <v>0.57</v>
      </c>
      <c r="L118" s="265"/>
      <c r="M118" s="265"/>
      <c r="N118" s="265"/>
      <c r="O118" s="265"/>
      <c r="P118" s="265"/>
      <c r="Q118" s="265"/>
      <c r="R118" s="375"/>
      <c r="S118" s="410" t="str">
        <f t="shared" si="2"/>
        <v>RTP_OxAn(C) </v>
      </c>
      <c r="T118" s="378">
        <f t="shared" si="3"/>
        <v>1</v>
      </c>
      <c r="U118" s="114">
        <f t="shared" si="4"/>
        <v>2</v>
      </c>
      <c r="V118" s="121">
        <f t="shared" si="5"/>
        <v>3</v>
      </c>
      <c r="W118" s="252">
        <v>3</v>
      </c>
      <c r="X118" s="265"/>
      <c r="Y118" s="265"/>
      <c r="Z118" s="265"/>
      <c r="AA118" s="381"/>
    </row>
    <row r="119" spans="9:27" ht="12.75">
      <c r="I119" s="412" t="str">
        <f t="shared" si="1"/>
        <v>Test</v>
      </c>
      <c r="J119" s="146">
        <v>0.39</v>
      </c>
      <c r="K119" s="247">
        <v>0.39</v>
      </c>
      <c r="L119" s="265"/>
      <c r="M119" s="265"/>
      <c r="N119" s="265"/>
      <c r="O119" s="265"/>
      <c r="P119" s="265"/>
      <c r="Q119" s="265"/>
      <c r="R119" s="375"/>
      <c r="S119" s="410" t="str">
        <f t="shared" si="2"/>
        <v>Test</v>
      </c>
      <c r="T119" s="378">
        <f t="shared" si="3"/>
        <v>6</v>
      </c>
      <c r="U119" s="114">
        <f t="shared" si="4"/>
        <v>11</v>
      </c>
      <c r="V119" s="121">
        <f t="shared" si="5"/>
        <v>17</v>
      </c>
      <c r="W119" s="252">
        <v>22</v>
      </c>
      <c r="X119" s="265"/>
      <c r="Y119" s="265"/>
      <c r="Z119" s="265"/>
      <c r="AA119" s="381"/>
    </row>
    <row r="120" spans="9:27" ht="12.75">
      <c r="I120" s="412" t="str">
        <f t="shared" si="1"/>
        <v>VP_HF_Clean</v>
      </c>
      <c r="J120" s="146">
        <v>0.45</v>
      </c>
      <c r="K120" s="247">
        <v>0.45</v>
      </c>
      <c r="L120" s="265"/>
      <c r="M120" s="265"/>
      <c r="N120" s="265"/>
      <c r="O120" s="265"/>
      <c r="P120" s="265"/>
      <c r="Q120" s="265"/>
      <c r="R120" s="375"/>
      <c r="S120" s="410" t="str">
        <f t="shared" si="2"/>
        <v>VP_HF_Clean</v>
      </c>
      <c r="T120" s="378">
        <f t="shared" si="3"/>
        <v>2</v>
      </c>
      <c r="U120" s="114">
        <f t="shared" si="4"/>
        <v>3</v>
      </c>
      <c r="V120" s="121">
        <f t="shared" si="5"/>
        <v>4</v>
      </c>
      <c r="W120" s="252">
        <v>5</v>
      </c>
      <c r="X120" s="265"/>
      <c r="Y120" s="265"/>
      <c r="Z120" s="265"/>
      <c r="AA120" s="381"/>
    </row>
    <row r="121" spans="9:27" ht="12.75">
      <c r="I121" s="412" t="str">
        <f t="shared" si="1"/>
        <v>Wet_Bench</v>
      </c>
      <c r="J121" s="146">
        <v>0.54</v>
      </c>
      <c r="K121" s="247">
        <v>0.54</v>
      </c>
      <c r="L121" s="265"/>
      <c r="M121" s="265"/>
      <c r="N121" s="265"/>
      <c r="O121" s="265"/>
      <c r="P121" s="265"/>
      <c r="Q121" s="265"/>
      <c r="R121" s="375"/>
      <c r="S121" s="410" t="str">
        <f t="shared" si="2"/>
        <v>Wet_Bench</v>
      </c>
      <c r="T121" s="378">
        <f t="shared" si="3"/>
        <v>3</v>
      </c>
      <c r="U121" s="114">
        <f t="shared" si="4"/>
        <v>6</v>
      </c>
      <c r="V121" s="121">
        <f t="shared" si="5"/>
        <v>9</v>
      </c>
      <c r="W121" s="252">
        <v>11</v>
      </c>
      <c r="X121" s="265"/>
      <c r="Y121" s="265"/>
      <c r="Z121" s="265"/>
      <c r="AA121" s="381"/>
    </row>
    <row r="122" spans="9:27" ht="12.75">
      <c r="I122" s="412" t="str">
        <f t="shared" si="1"/>
        <v>Wet_Bench(I)</v>
      </c>
      <c r="J122" s="146">
        <v>0.54</v>
      </c>
      <c r="K122" s="403">
        <v>0.54</v>
      </c>
      <c r="L122" s="114"/>
      <c r="M122" s="114"/>
      <c r="N122" s="114"/>
      <c r="O122" s="114"/>
      <c r="P122" s="114"/>
      <c r="Q122" s="114"/>
      <c r="R122" s="116"/>
      <c r="S122" s="410" t="str">
        <f t="shared" si="2"/>
        <v>Wet_Bench(I)</v>
      </c>
      <c r="T122" s="404">
        <f t="shared" si="3"/>
        <v>3</v>
      </c>
      <c r="U122" s="114">
        <f>ROUNDUP(W122/2,0)</f>
        <v>5</v>
      </c>
      <c r="V122" s="114">
        <f>ROUNDUP(W122*3/4,0)</f>
        <v>8</v>
      </c>
      <c r="W122" s="405">
        <v>10</v>
      </c>
      <c r="X122" s="114"/>
      <c r="Y122" s="114"/>
      <c r="Z122" s="114"/>
      <c r="AA122" s="406"/>
    </row>
    <row r="123" spans="9:27" ht="12.75">
      <c r="I123" s="412"/>
      <c r="J123" s="407"/>
      <c r="K123" s="247"/>
      <c r="L123" s="265"/>
      <c r="M123" s="265"/>
      <c r="N123" s="265"/>
      <c r="O123" s="265"/>
      <c r="P123" s="265"/>
      <c r="Q123" s="265"/>
      <c r="R123" s="375"/>
      <c r="S123" s="410"/>
      <c r="T123" s="252"/>
      <c r="U123" s="265"/>
      <c r="V123" s="265"/>
      <c r="W123" s="252"/>
      <c r="X123" s="265"/>
      <c r="Y123" s="265"/>
      <c r="Z123" s="265"/>
      <c r="AA123" s="381"/>
    </row>
    <row r="124" spans="9:27" ht="12.75">
      <c r="I124" s="412"/>
      <c r="J124" s="146"/>
      <c r="K124" s="247"/>
      <c r="L124" s="265"/>
      <c r="M124" s="265"/>
      <c r="N124" s="265"/>
      <c r="O124" s="265"/>
      <c r="P124" s="265"/>
      <c r="Q124" s="265"/>
      <c r="R124" s="375"/>
      <c r="S124" s="410"/>
      <c r="T124" s="378"/>
      <c r="U124" s="121"/>
      <c r="V124" s="121"/>
      <c r="W124" s="252"/>
      <c r="X124" s="265"/>
      <c r="Y124" s="265"/>
      <c r="Z124" s="265"/>
      <c r="AA124" s="381"/>
    </row>
    <row r="125" spans="9:27" ht="13.5" thickBot="1">
      <c r="I125" s="413"/>
      <c r="J125" s="151"/>
      <c r="K125" s="261"/>
      <c r="L125" s="266"/>
      <c r="M125" s="266"/>
      <c r="N125" s="266"/>
      <c r="O125" s="266"/>
      <c r="P125" s="266"/>
      <c r="Q125" s="266"/>
      <c r="R125" s="376"/>
      <c r="S125" s="411"/>
      <c r="T125" s="408"/>
      <c r="U125" s="266"/>
      <c r="V125" s="266"/>
      <c r="W125" s="379"/>
      <c r="X125" s="266"/>
      <c r="Y125" s="266"/>
      <c r="Z125" s="266"/>
      <c r="AA125" s="382"/>
    </row>
  </sheetData>
  <printOptions/>
  <pageMargins left="0.75" right="0.75" top="1" bottom="1" header="0.5" footer="0.5"/>
  <pageSetup horizontalDpi="600" verticalDpi="600" orientation="portrait" r:id="rId2"/>
  <legacyDrawing r:id="rId1"/>
</worksheet>
</file>

<file path=xl/worksheets/sheet3.xml><?xml version="1.0" encoding="utf-8"?>
<worksheet xmlns="http://schemas.openxmlformats.org/spreadsheetml/2006/main" xmlns:r="http://schemas.openxmlformats.org/officeDocument/2006/relationships">
  <sheetPr codeName="Sheet3"/>
  <dimension ref="A1:CA677"/>
  <sheetViews>
    <sheetView zoomScale="75" zoomScaleNormal="75" workbookViewId="0" topLeftCell="X1">
      <selection activeCell="AF3" sqref="AF3:AF45"/>
    </sheetView>
  </sheetViews>
  <sheetFormatPr defaultColWidth="9.140625" defaultRowHeight="12.75"/>
  <cols>
    <col min="1" max="1" width="20.57421875" style="0" bestFit="1" customWidth="1"/>
    <col min="2" max="2" width="14.28125" style="0" customWidth="1"/>
    <col min="3" max="5" width="12.00390625" style="0" bestFit="1" customWidth="1"/>
    <col min="7" max="7" width="19.28125" style="0" customWidth="1"/>
    <col min="9" max="9" width="17.421875" style="0" customWidth="1"/>
    <col min="10" max="10" width="16.28125" style="0" customWidth="1"/>
    <col min="11" max="11" width="15.7109375" style="0" customWidth="1"/>
    <col min="13" max="13" width="14.28125" style="0" customWidth="1"/>
    <col min="14" max="14" width="16.57421875" style="0" customWidth="1"/>
    <col min="15" max="15" width="15.00390625" style="0" customWidth="1"/>
    <col min="16" max="16" width="12.140625" style="0" customWidth="1"/>
    <col min="17" max="17" width="14.00390625" style="0" customWidth="1"/>
    <col min="18" max="18" width="12.00390625" style="0" customWidth="1"/>
    <col min="19" max="19" width="12.00390625" style="0" bestFit="1" customWidth="1"/>
    <col min="23" max="23" width="20.57421875" style="0" customWidth="1"/>
    <col min="24" max="24" width="10.7109375" style="0" customWidth="1"/>
    <col min="27" max="27" width="20.57421875" style="0" customWidth="1"/>
    <col min="28" max="28" width="10.7109375" style="0" customWidth="1"/>
    <col min="30" max="30" width="8.8515625" style="0" customWidth="1"/>
    <col min="35" max="35" width="10.140625" style="0" customWidth="1"/>
    <col min="39" max="40" width="10.28125" style="0" bestFit="1" customWidth="1"/>
    <col min="41" max="41" width="13.28125" style="0" customWidth="1"/>
    <col min="44" max="44" width="20.57421875" style="0" customWidth="1"/>
    <col min="56" max="56" width="16.00390625" style="0" customWidth="1"/>
    <col min="57" max="57" width="12.00390625" style="0" customWidth="1"/>
    <col min="58" max="58" width="5.421875" style="0" customWidth="1"/>
    <col min="59" max="59" width="14.00390625" style="0" customWidth="1"/>
    <col min="60" max="60" width="12.421875" style="0" customWidth="1"/>
    <col min="61" max="61" width="15.140625" style="0" bestFit="1" customWidth="1"/>
    <col min="80" max="80" width="13.28125" style="0" customWidth="1"/>
  </cols>
  <sheetData>
    <row r="1" spans="1:79" ht="13.5" thickBot="1">
      <c r="A1" s="224" t="s">
        <v>207</v>
      </c>
      <c r="B1" s="94" t="s">
        <v>229</v>
      </c>
      <c r="C1" s="94" t="s">
        <v>248</v>
      </c>
      <c r="D1" s="94"/>
      <c r="H1" s="69" t="s">
        <v>243</v>
      </c>
      <c r="I1" s="17" t="s">
        <v>60</v>
      </c>
      <c r="J1" s="226" t="s">
        <v>245</v>
      </c>
      <c r="K1" s="17" t="s">
        <v>244</v>
      </c>
      <c r="L1" s="226" t="s">
        <v>374</v>
      </c>
      <c r="M1" s="226" t="s">
        <v>242</v>
      </c>
      <c r="N1" s="18" t="s">
        <v>241</v>
      </c>
      <c r="O1" s="389" t="s">
        <v>372</v>
      </c>
      <c r="P1" s="76" t="s">
        <v>240</v>
      </c>
      <c r="Q1" s="18" t="s">
        <v>237</v>
      </c>
      <c r="R1" s="19" t="s">
        <v>239</v>
      </c>
      <c r="S1" s="17" t="s">
        <v>238</v>
      </c>
      <c r="T1" s="227" t="s">
        <v>312</v>
      </c>
      <c r="U1" s="226" t="s">
        <v>59</v>
      </c>
      <c r="V1" s="226" t="s">
        <v>405</v>
      </c>
      <c r="AA1" s="7"/>
      <c r="AB1" s="7"/>
      <c r="AC1" s="7"/>
      <c r="AD1" s="7"/>
      <c r="AE1" s="7"/>
      <c r="AF1" s="7"/>
      <c r="AG1" s="7"/>
      <c r="AH1" s="7"/>
      <c r="AI1" s="208"/>
      <c r="AJ1" s="7"/>
      <c r="AK1" s="7"/>
      <c r="AL1" s="7"/>
      <c r="AM1" s="7"/>
      <c r="AN1" s="7"/>
      <c r="AO1" s="7"/>
      <c r="AP1" s="7"/>
      <c r="CA1" s="7"/>
    </row>
    <row r="2" spans="1:43" ht="13.5" thickBot="1">
      <c r="A2" s="225" t="s">
        <v>228</v>
      </c>
      <c r="C2" s="94" t="s">
        <v>247</v>
      </c>
      <c r="D2" s="94"/>
      <c r="G2" s="234"/>
      <c r="H2" s="420">
        <v>73</v>
      </c>
      <c r="I2" s="420" t="s">
        <v>3</v>
      </c>
      <c r="J2" s="420" t="str">
        <f>+'Input Data'!I9</f>
        <v>CMP_Ins</v>
      </c>
      <c r="K2" s="420"/>
      <c r="L2" s="420">
        <v>60</v>
      </c>
      <c r="M2" s="421">
        <v>2</v>
      </c>
      <c r="N2" s="422"/>
      <c r="O2" s="420">
        <v>1.98162037</v>
      </c>
      <c r="P2" s="425"/>
      <c r="Q2" s="428">
        <f>+WS*LY^(($H160-1)/$B$24)*P2</f>
        <v>0</v>
      </c>
      <c r="R2" s="428">
        <f>+WS*LY^(($H160-1)/$B$24)*M2</f>
        <v>49621.66904253697</v>
      </c>
      <c r="S2" s="428">
        <f>+WS*LY^(($H160-1)/$B$24)*N2</f>
        <v>0</v>
      </c>
      <c r="T2" s="69">
        <f>+'Input Data'!$J$9</f>
        <v>0.77</v>
      </c>
      <c r="U2" s="428">
        <f>+WS*(LY^((+H160-1)/$B$24))*(1/L2)/(1-T2)/720</f>
        <v>2.4970646659891793</v>
      </c>
      <c r="V2" s="428">
        <f>1/L2</f>
        <v>0.016666666666666666</v>
      </c>
      <c r="AA2" s="89" t="s">
        <v>245</v>
      </c>
      <c r="AB2" s="416" t="s">
        <v>375</v>
      </c>
      <c r="AC2" s="416" t="s">
        <v>373</v>
      </c>
      <c r="AD2" s="87" t="s">
        <v>404</v>
      </c>
      <c r="AE2" s="87" t="s">
        <v>402</v>
      </c>
      <c r="AF2" s="139" t="s">
        <v>203</v>
      </c>
      <c r="AG2" s="87" t="s">
        <v>401</v>
      </c>
      <c r="AH2" s="87" t="s">
        <v>395</v>
      </c>
      <c r="AI2" s="87" t="s">
        <v>396</v>
      </c>
      <c r="AJ2" s="87" t="s">
        <v>394</v>
      </c>
      <c r="AK2" s="87" t="s">
        <v>393</v>
      </c>
      <c r="AL2" s="87" t="s">
        <v>403</v>
      </c>
      <c r="AM2" s="87" t="s">
        <v>397</v>
      </c>
      <c r="AN2" s="87" t="s">
        <v>406</v>
      </c>
      <c r="AO2" s="87" t="s">
        <v>398</v>
      </c>
      <c r="AP2" s="87" t="s">
        <v>399</v>
      </c>
      <c r="AQ2" s="218" t="s">
        <v>400</v>
      </c>
    </row>
    <row r="3" spans="1:43" ht="12.75">
      <c r="A3" s="94"/>
      <c r="C3" s="235"/>
      <c r="D3" s="94"/>
      <c r="G3" s="234"/>
      <c r="H3" s="232">
        <v>106</v>
      </c>
      <c r="I3" s="232" t="s">
        <v>4</v>
      </c>
      <c r="J3" s="232" t="str">
        <f>+'Input Data'!I10</f>
        <v>CMP_Ins(C) </v>
      </c>
      <c r="K3" s="232"/>
      <c r="L3" s="232">
        <v>30</v>
      </c>
      <c r="M3" s="414">
        <v>2</v>
      </c>
      <c r="N3" s="423"/>
      <c r="O3" s="232">
        <v>1.98162037</v>
      </c>
      <c r="P3" s="426"/>
      <c r="Q3" s="74">
        <f>+WS*LY^(($H161-1)/$B$24)*P3</f>
        <v>0</v>
      </c>
      <c r="R3" s="74">
        <f>+WS*LY^(($H161-1)/$B$24)*M3</f>
        <v>49598.59914225843</v>
      </c>
      <c r="S3" s="74">
        <f>+WS*LY^(($H161-1)/$B$24)*N3</f>
        <v>0</v>
      </c>
      <c r="T3" s="70">
        <f>+'Input Data'!$J$10</f>
        <v>0.77</v>
      </c>
      <c r="U3" s="74">
        <f>+WS*(LY^((+H161-1)/$B$24))*(1/L3)/(1-T3)/720</f>
        <v>4.991807482111356</v>
      </c>
      <c r="V3" s="74">
        <f>1/L3</f>
        <v>0.03333333333333333</v>
      </c>
      <c r="Y3" s="106" t="s">
        <v>251</v>
      </c>
      <c r="AA3" s="417" t="s">
        <v>251</v>
      </c>
      <c r="AB3" s="418">
        <v>25</v>
      </c>
      <c r="AC3" s="418">
        <v>5</v>
      </c>
      <c r="AD3" s="418">
        <v>0</v>
      </c>
      <c r="AE3" s="418">
        <v>0.742</v>
      </c>
      <c r="AF3" s="146">
        <v>0.19144162439250376</v>
      </c>
      <c r="AG3" s="51">
        <v>1</v>
      </c>
      <c r="AH3" s="51">
        <v>2.4970646659891793</v>
      </c>
      <c r="AI3" s="51">
        <f aca="true" t="shared" si="0" ref="AI3:AI45">+ROUNDUP(AH3,0)</f>
        <v>3</v>
      </c>
      <c r="AJ3" s="51">
        <v>0.016666666666666666</v>
      </c>
      <c r="AK3" s="51" t="e">
        <v>#DIV/0!</v>
      </c>
      <c r="AL3" s="51">
        <f>AJ3*AB3/AE3</f>
        <v>0.5615453728661276</v>
      </c>
      <c r="AM3" s="51">
        <f>0.1+IF((AG3&gt;1),AK3,0)/(AJ3*AJ3)+2*(1-AE3)*0.1/AL3</f>
        <v>0.19188928</v>
      </c>
      <c r="AN3" s="52">
        <f>IF((1.1*AF3&gt;(AE3+AF3)/2),(AE3+AF3)/2,1.1*AF3)</f>
        <v>0.21058578683175416</v>
      </c>
      <c r="AO3" s="51">
        <f>(1+AM3)/2*(POWER((AN3/AE3),(SQRT(2*(IF((AD3&gt;0),AD3,AI3)+1))-1))/IF((AD3&gt;0),AD3,AI3)/(1-AN3/AE3))*AL3+AJ3*AB3</f>
        <v>0.43223838732894765</v>
      </c>
      <c r="AP3" s="51">
        <v>1.98162037</v>
      </c>
      <c r="AQ3" s="54">
        <f>CT_FACTOR*AO3</f>
        <v>1.1345547103507638</v>
      </c>
    </row>
    <row r="4" spans="1:43" ht="12.75">
      <c r="A4" s="348" t="s">
        <v>330</v>
      </c>
      <c r="B4" s="348"/>
      <c r="C4" s="348"/>
      <c r="D4" s="348"/>
      <c r="G4" s="234"/>
      <c r="H4" s="232">
        <v>281</v>
      </c>
      <c r="I4" s="232" t="s">
        <v>4</v>
      </c>
      <c r="J4" s="232" t="s">
        <v>249</v>
      </c>
      <c r="K4" s="232"/>
      <c r="L4" s="232">
        <v>30</v>
      </c>
      <c r="M4" s="232">
        <v>2</v>
      </c>
      <c r="N4" s="232"/>
      <c r="O4" s="232">
        <v>1.98162037</v>
      </c>
      <c r="P4" s="429"/>
      <c r="Q4" s="429">
        <v>0</v>
      </c>
      <c r="R4" s="429">
        <v>29680.469381280138</v>
      </c>
      <c r="S4" s="429">
        <v>0</v>
      </c>
      <c r="T4" s="429">
        <v>0.77</v>
      </c>
      <c r="U4" s="429">
        <v>2.9871647928019462</v>
      </c>
      <c r="V4" s="429">
        <v>0.03333333333333333</v>
      </c>
      <c r="Y4" s="12"/>
      <c r="AA4" s="90" t="s">
        <v>249</v>
      </c>
      <c r="AB4" s="360">
        <v>25</v>
      </c>
      <c r="AC4" s="360">
        <v>5</v>
      </c>
      <c r="AD4" s="360">
        <f>AD3</f>
        <v>0</v>
      </c>
      <c r="AE4" s="360">
        <f>AE3</f>
        <v>0.742</v>
      </c>
      <c r="AF4" s="146">
        <v>0.22919454883902368</v>
      </c>
      <c r="AG4" s="52">
        <v>5</v>
      </c>
      <c r="AH4" s="52">
        <v>16.94046665331914</v>
      </c>
      <c r="AI4" s="52">
        <f t="shared" si="0"/>
        <v>17</v>
      </c>
      <c r="AJ4" s="52">
        <v>0.03333333333333333</v>
      </c>
      <c r="AK4" s="52">
        <v>0</v>
      </c>
      <c r="AL4" s="52">
        <f>AJ4*AB4/AE4</f>
        <v>1.1230907457322552</v>
      </c>
      <c r="AM4" s="52">
        <f aca="true" t="shared" si="1" ref="AM4:AM45">0.1+IF((AG4&gt;1),AK4,0)/(AJ4*AJ4)+2*(1-AE4)*0.1/AL4</f>
        <v>0.14594464000000001</v>
      </c>
      <c r="AN4" s="52">
        <f>IF((1.1*AF4&gt;(AE4+AF4)/2),(AE4+AF4)/2,1.1*AF4)</f>
        <v>0.2521140037229261</v>
      </c>
      <c r="AO4" s="52">
        <f aca="true" t="shared" si="2" ref="AO4:AO45">(1+AM4)/2*(POWER((AN4/AE4),(SQRT(2*(IF((AD4&gt;0),AD4,AI4)+1))-1))/IF((AD4&gt;0),AD4,AI4)/(1-AN4/AE4))*AL4+AJ4*AB4</f>
        <v>0.8335929746301903</v>
      </c>
      <c r="AP4" s="52">
        <v>1.98162037</v>
      </c>
      <c r="AQ4" s="275">
        <f aca="true" t="shared" si="3" ref="AQ4:AQ44">CT_FACTOR*AO4</f>
        <v>2.1880445226680783</v>
      </c>
    </row>
    <row r="5" spans="8:43" ht="12.75">
      <c r="H5" s="232">
        <v>314</v>
      </c>
      <c r="I5" s="232" t="s">
        <v>4</v>
      </c>
      <c r="J5" s="232" t="s">
        <v>249</v>
      </c>
      <c r="K5" s="232"/>
      <c r="L5" s="232">
        <v>30</v>
      </c>
      <c r="M5" s="232">
        <v>2</v>
      </c>
      <c r="N5" s="232"/>
      <c r="O5" s="232">
        <v>1.98162037</v>
      </c>
      <c r="P5" s="429"/>
      <c r="Q5" s="429">
        <v>0</v>
      </c>
      <c r="R5" s="429">
        <v>29680.469381280138</v>
      </c>
      <c r="S5" s="429">
        <v>0</v>
      </c>
      <c r="T5" s="429">
        <v>0.77</v>
      </c>
      <c r="U5" s="429">
        <v>2.9871647928019462</v>
      </c>
      <c r="V5" s="429">
        <v>0.03333333333333333</v>
      </c>
      <c r="Y5" s="12"/>
      <c r="AA5" s="90" t="s">
        <v>250</v>
      </c>
      <c r="AB5" s="360">
        <v>25</v>
      </c>
      <c r="AC5" s="360">
        <v>5</v>
      </c>
      <c r="AD5" s="360">
        <f aca="true" t="shared" si="4" ref="AD5:AD44">AD4</f>
        <v>0</v>
      </c>
      <c r="AE5" s="360">
        <f>AE4</f>
        <v>0.742</v>
      </c>
      <c r="AF5" s="146">
        <v>0.19270199598697202</v>
      </c>
      <c r="AG5" s="52">
        <v>1</v>
      </c>
      <c r="AH5" s="52">
        <v>2.5135042954822437</v>
      </c>
      <c r="AI5" s="52">
        <f t="shared" si="0"/>
        <v>3</v>
      </c>
      <c r="AJ5" s="52">
        <v>0.016666666666666666</v>
      </c>
      <c r="AK5" s="52" t="e">
        <v>#DIV/0!</v>
      </c>
      <c r="AL5" s="52">
        <f aca="true" t="shared" si="5" ref="AL5:AL45">AJ5*AB5/AE5</f>
        <v>0.5615453728661276</v>
      </c>
      <c r="AM5" s="52">
        <f t="shared" si="1"/>
        <v>0.19188928</v>
      </c>
      <c r="AN5" s="52">
        <f aca="true" t="shared" si="6" ref="AN5:AN45">IF((1.1*AF5&gt;(AE5+AF5)/2),(AE5+AF5)/2,1.1*AF5)</f>
        <v>0.21197219558566924</v>
      </c>
      <c r="AO5" s="52">
        <f t="shared" si="2"/>
        <v>0.43246756747761533</v>
      </c>
      <c r="AP5" s="52">
        <v>1.98162037</v>
      </c>
      <c r="AQ5" s="275">
        <f t="shared" si="3"/>
        <v>1.1351562705657106</v>
      </c>
    </row>
    <row r="6" spans="1:43" ht="12.75">
      <c r="A6" s="347" t="s">
        <v>1</v>
      </c>
      <c r="B6" s="94"/>
      <c r="C6" s="94"/>
      <c r="D6" s="94"/>
      <c r="G6" s="234"/>
      <c r="H6" s="232">
        <v>347</v>
      </c>
      <c r="I6" s="232" t="s">
        <v>4</v>
      </c>
      <c r="J6" s="232" t="s">
        <v>249</v>
      </c>
      <c r="K6" s="232"/>
      <c r="L6" s="232">
        <v>30</v>
      </c>
      <c r="M6" s="232">
        <v>2</v>
      </c>
      <c r="N6" s="232"/>
      <c r="O6" s="232">
        <v>1.98162037</v>
      </c>
      <c r="P6" s="429"/>
      <c r="Q6" s="429">
        <v>0</v>
      </c>
      <c r="R6" s="429">
        <v>29680.469381280138</v>
      </c>
      <c r="S6" s="429">
        <v>0</v>
      </c>
      <c r="T6" s="429">
        <v>0.77</v>
      </c>
      <c r="U6" s="429">
        <v>2.9871647928019462</v>
      </c>
      <c r="V6" s="429">
        <v>0.03333333333333333</v>
      </c>
      <c r="Y6" s="12"/>
      <c r="AA6" s="90" t="s">
        <v>252</v>
      </c>
      <c r="AB6" s="360">
        <v>25</v>
      </c>
      <c r="AC6" s="360">
        <v>5</v>
      </c>
      <c r="AD6" s="360">
        <f t="shared" si="4"/>
        <v>0</v>
      </c>
      <c r="AE6" s="360">
        <f>AE5</f>
        <v>0.742</v>
      </c>
      <c r="AF6" s="146">
        <v>0.21649102603554354</v>
      </c>
      <c r="AG6" s="52">
        <v>5</v>
      </c>
      <c r="AH6" s="52">
        <v>8.471387975303877</v>
      </c>
      <c r="AI6" s="52">
        <f t="shared" si="0"/>
        <v>9</v>
      </c>
      <c r="AJ6" s="52">
        <v>0.016666666666666666</v>
      </c>
      <c r="AK6" s="52">
        <v>0</v>
      </c>
      <c r="AL6" s="52">
        <f t="shared" si="5"/>
        <v>0.5615453728661276</v>
      </c>
      <c r="AM6" s="52">
        <f t="shared" si="1"/>
        <v>0.19188928</v>
      </c>
      <c r="AN6" s="52">
        <f t="shared" si="6"/>
        <v>0.23814012863909792</v>
      </c>
      <c r="AO6" s="52">
        <f t="shared" si="2"/>
        <v>0.4177251783698894</v>
      </c>
      <c r="AP6" s="52">
        <v>1.98162037</v>
      </c>
      <c r="AQ6" s="275">
        <f t="shared" si="3"/>
        <v>1.0964599226838063</v>
      </c>
    </row>
    <row r="7" spans="1:43" ht="12.75">
      <c r="A7" s="94" t="s">
        <v>0</v>
      </c>
      <c r="B7" s="94"/>
      <c r="C7" s="94"/>
      <c r="D7" s="94"/>
      <c r="G7" s="234"/>
      <c r="H7" s="232">
        <v>380</v>
      </c>
      <c r="I7" s="232" t="s">
        <v>4</v>
      </c>
      <c r="J7" s="232" t="s">
        <v>249</v>
      </c>
      <c r="K7" s="232"/>
      <c r="L7" s="232">
        <v>30</v>
      </c>
      <c r="M7" s="232">
        <v>2</v>
      </c>
      <c r="N7" s="232"/>
      <c r="O7" s="232">
        <v>1.98162037</v>
      </c>
      <c r="P7" s="429"/>
      <c r="Q7" s="429">
        <v>0</v>
      </c>
      <c r="R7" s="429">
        <v>29680.469381280138</v>
      </c>
      <c r="S7" s="429">
        <v>0</v>
      </c>
      <c r="T7" s="429">
        <v>0.77</v>
      </c>
      <c r="U7" s="429">
        <v>2.9871647928019462</v>
      </c>
      <c r="V7" s="429">
        <v>0.03333333333333333</v>
      </c>
      <c r="Y7" s="12"/>
      <c r="AA7" s="90" t="s">
        <v>255</v>
      </c>
      <c r="AB7" s="360">
        <v>25</v>
      </c>
      <c r="AC7" s="360">
        <v>5</v>
      </c>
      <c r="AD7" s="360">
        <v>0</v>
      </c>
      <c r="AE7" s="360">
        <v>0.875</v>
      </c>
      <c r="AF7" s="146">
        <v>0.5560812138227431</v>
      </c>
      <c r="AG7" s="52">
        <v>3</v>
      </c>
      <c r="AH7" s="52">
        <v>3.4755075863921445</v>
      </c>
      <c r="AI7" s="52">
        <f t="shared" si="0"/>
        <v>4</v>
      </c>
      <c r="AJ7" s="52">
        <v>0.021666666666666667</v>
      </c>
      <c r="AK7" s="52">
        <v>8.333333333333335E-06</v>
      </c>
      <c r="AL7" s="52">
        <f t="shared" si="5"/>
        <v>0.6190476190476192</v>
      </c>
      <c r="AM7" s="52">
        <f t="shared" si="1"/>
        <v>0.15813609467455622</v>
      </c>
      <c r="AN7" s="52">
        <f t="shared" si="6"/>
        <v>0.6116893352050174</v>
      </c>
      <c r="AO7" s="52">
        <f t="shared" si="2"/>
        <v>0.6789913212207841</v>
      </c>
      <c r="AP7" s="52">
        <v>3.204055556</v>
      </c>
      <c r="AQ7" s="275">
        <f t="shared" si="3"/>
        <v>1.782240597691443</v>
      </c>
    </row>
    <row r="8" spans="1:43" ht="12.75">
      <c r="A8" s="94" t="s">
        <v>2</v>
      </c>
      <c r="B8" s="94"/>
      <c r="C8" s="94"/>
      <c r="D8" s="94"/>
      <c r="G8" s="234"/>
      <c r="H8" s="232">
        <v>21</v>
      </c>
      <c r="I8" s="232" t="s">
        <v>5</v>
      </c>
      <c r="J8" s="232" t="str">
        <f>+'Input Data'!I11</f>
        <v>CMP_Ins(I)</v>
      </c>
      <c r="K8" s="232"/>
      <c r="L8" s="232">
        <v>60</v>
      </c>
      <c r="M8" s="414">
        <v>2</v>
      </c>
      <c r="N8" s="423"/>
      <c r="O8" s="232">
        <v>1.98162037</v>
      </c>
      <c r="P8" s="426"/>
      <c r="Q8" s="74">
        <f>+WS*LY^(($H8-1)/$B$24)*P8</f>
        <v>0</v>
      </c>
      <c r="R8" s="74">
        <f>+WS*LY^(($H8-1)/$B$24)*M8</f>
        <v>49948.357359823145</v>
      </c>
      <c r="S8" s="74">
        <f>+WS*LY^(($H8-1)/$B$24)*N8</f>
        <v>0</v>
      </c>
      <c r="T8" s="70">
        <f>+'Input Data'!$J$11</f>
        <v>0.77</v>
      </c>
      <c r="U8" s="74">
        <f>+WS*(LY^((+H8-1)/$B$24))*(1/L8)/(1-T8)/720</f>
        <v>2.5135042954822437</v>
      </c>
      <c r="V8" s="74">
        <f>1/L8</f>
        <v>0.016666666666666666</v>
      </c>
      <c r="Y8" s="106" t="s">
        <v>249</v>
      </c>
      <c r="AA8" s="90" t="s">
        <v>253</v>
      </c>
      <c r="AB8" s="360">
        <v>25</v>
      </c>
      <c r="AC8" s="360">
        <v>5</v>
      </c>
      <c r="AD8" s="360">
        <f t="shared" si="4"/>
        <v>0</v>
      </c>
      <c r="AE8" s="360">
        <f aca="true" t="shared" si="7" ref="AE8:AE14">AE7</f>
        <v>0.875</v>
      </c>
      <c r="AF8" s="146">
        <v>0.5843318691758677</v>
      </c>
      <c r="AG8" s="52">
        <v>6</v>
      </c>
      <c r="AH8" s="52">
        <v>8.21716691028564</v>
      </c>
      <c r="AI8" s="52">
        <f t="shared" si="0"/>
        <v>9</v>
      </c>
      <c r="AJ8" s="52">
        <v>0.03444444444444444</v>
      </c>
      <c r="AK8" s="52">
        <v>7.407407407407408E-06</v>
      </c>
      <c r="AL8" s="52">
        <f t="shared" si="5"/>
        <v>0.984126984126984</v>
      </c>
      <c r="AM8" s="52">
        <f t="shared" si="1"/>
        <v>0.1316467221644121</v>
      </c>
      <c r="AN8" s="52">
        <f t="shared" si="6"/>
        <v>0.6427650560934545</v>
      </c>
      <c r="AO8" s="52">
        <f t="shared" si="2"/>
        <v>0.940994643157045</v>
      </c>
      <c r="AP8" s="52">
        <v>3.204055556</v>
      </c>
      <c r="AQ8" s="275">
        <f t="shared" si="3"/>
        <v>2.4699562466120697</v>
      </c>
    </row>
    <row r="9" spans="8:43" ht="12.75">
      <c r="H9" s="232">
        <v>87</v>
      </c>
      <c r="I9" s="232" t="s">
        <v>6</v>
      </c>
      <c r="J9" s="232" t="str">
        <f>+'Input Data'!I12</f>
        <v>CMP_Met</v>
      </c>
      <c r="K9" s="232"/>
      <c r="L9" s="232">
        <v>60</v>
      </c>
      <c r="M9" s="414">
        <v>2</v>
      </c>
      <c r="N9" s="423"/>
      <c r="O9" s="232">
        <v>1.98162037</v>
      </c>
      <c r="P9" s="426"/>
      <c r="Q9" s="74">
        <f>+WS*LY^(($H167-1)/$B$24)*P9</f>
        <v>0</v>
      </c>
      <c r="R9" s="74">
        <f>+WS*LY^(($H167-1)/$B$24)*M9</f>
        <v>49460.404802947975</v>
      </c>
      <c r="S9" s="74">
        <f>+WS*LY^(($H167-1)/$B$24)*N9</f>
        <v>0</v>
      </c>
      <c r="T9" s="70">
        <f>+'Input Data'!$J$12</f>
        <v>0.77</v>
      </c>
      <c r="U9" s="74">
        <f>+WS*(LY^((+H167-1)/$B$24))*(1/L9)/(1-T9)/720</f>
        <v>2.488949517056561</v>
      </c>
      <c r="V9" s="74">
        <f>1/L9</f>
        <v>0.016666666666666666</v>
      </c>
      <c r="Y9" s="106" t="s">
        <v>250</v>
      </c>
      <c r="AA9" s="90" t="s">
        <v>254</v>
      </c>
      <c r="AB9" s="360">
        <v>25</v>
      </c>
      <c r="AC9" s="360">
        <v>5</v>
      </c>
      <c r="AD9" s="360">
        <f t="shared" si="4"/>
        <v>0</v>
      </c>
      <c r="AE9" s="360">
        <f t="shared" si="7"/>
        <v>0.875</v>
      </c>
      <c r="AF9" s="146">
        <v>0.34691736357031744</v>
      </c>
      <c r="AG9" s="52">
        <v>1</v>
      </c>
      <c r="AH9" s="52">
        <v>1.084116761157242</v>
      </c>
      <c r="AI9" s="52">
        <f t="shared" si="0"/>
        <v>2</v>
      </c>
      <c r="AJ9" s="52">
        <v>0.02</v>
      </c>
      <c r="AK9" s="52" t="e">
        <v>#DIV/0!</v>
      </c>
      <c r="AL9" s="52">
        <f t="shared" si="5"/>
        <v>0.5714285714285714</v>
      </c>
      <c r="AM9" s="52">
        <f t="shared" si="1"/>
        <v>0.14375000000000002</v>
      </c>
      <c r="AN9" s="52">
        <f t="shared" si="6"/>
        <v>0.3816090999273492</v>
      </c>
      <c r="AO9" s="52">
        <f t="shared" si="2"/>
        <v>0.5870300727837655</v>
      </c>
      <c r="AP9" s="52">
        <v>3.204055556</v>
      </c>
      <c r="AQ9" s="275">
        <f t="shared" si="3"/>
        <v>1.5408574382069204</v>
      </c>
    </row>
    <row r="10" spans="1:43" ht="12.75">
      <c r="A10" s="94" t="s">
        <v>377</v>
      </c>
      <c r="G10" s="234"/>
      <c r="H10" s="232">
        <v>262</v>
      </c>
      <c r="I10" s="232" t="s">
        <v>6</v>
      </c>
      <c r="J10" s="232" t="s">
        <v>252</v>
      </c>
      <c r="K10" s="232"/>
      <c r="L10" s="232">
        <v>60</v>
      </c>
      <c r="M10" s="232">
        <v>2</v>
      </c>
      <c r="N10" s="232"/>
      <c r="O10" s="232">
        <v>1.98162037</v>
      </c>
      <c r="P10" s="429"/>
      <c r="Q10" s="429">
        <v>0</v>
      </c>
      <c r="R10" s="429">
        <v>29720.754260572656</v>
      </c>
      <c r="S10" s="429">
        <v>0</v>
      </c>
      <c r="T10" s="429">
        <v>0.77</v>
      </c>
      <c r="U10" s="429">
        <v>1.4956096145618287</v>
      </c>
      <c r="V10" s="429">
        <v>0.016666666666666666</v>
      </c>
      <c r="Y10" s="12"/>
      <c r="AA10" s="90" t="s">
        <v>256</v>
      </c>
      <c r="AB10" s="360">
        <v>25</v>
      </c>
      <c r="AC10" s="360">
        <v>5</v>
      </c>
      <c r="AD10" s="360">
        <f t="shared" si="4"/>
        <v>0</v>
      </c>
      <c r="AE10" s="360">
        <f t="shared" si="7"/>
        <v>0.875</v>
      </c>
      <c r="AF10" s="146">
        <v>0.5835876230763166</v>
      </c>
      <c r="AG10" s="52">
        <v>5</v>
      </c>
      <c r="AH10" s="52">
        <v>1.8237113221134895</v>
      </c>
      <c r="AI10" s="52">
        <f t="shared" si="0"/>
        <v>2</v>
      </c>
      <c r="AJ10" s="52">
        <v>0.01</v>
      </c>
      <c r="AK10" s="52">
        <v>0</v>
      </c>
      <c r="AL10" s="52">
        <f t="shared" si="5"/>
        <v>0.2857142857142857</v>
      </c>
      <c r="AM10" s="52">
        <f t="shared" si="1"/>
        <v>0.1875</v>
      </c>
      <c r="AN10" s="52">
        <f t="shared" si="6"/>
        <v>0.6419463853839483</v>
      </c>
      <c r="AO10" s="52">
        <f t="shared" si="2"/>
        <v>0.4532768624328637</v>
      </c>
      <c r="AP10" s="52">
        <v>3.204055556</v>
      </c>
      <c r="AQ10" s="275">
        <f t="shared" si="3"/>
        <v>1.1897772489486138</v>
      </c>
    </row>
    <row r="11" spans="1:43" ht="12.75">
      <c r="A11" t="s">
        <v>378</v>
      </c>
      <c r="H11" s="232">
        <v>295</v>
      </c>
      <c r="I11" s="232" t="s">
        <v>6</v>
      </c>
      <c r="J11" s="232" t="s">
        <v>252</v>
      </c>
      <c r="K11" s="232"/>
      <c r="L11" s="232">
        <v>60</v>
      </c>
      <c r="M11" s="414">
        <v>2</v>
      </c>
      <c r="N11" s="423"/>
      <c r="O11" s="232">
        <v>1.98162037</v>
      </c>
      <c r="P11" s="426"/>
      <c r="Q11" s="426">
        <v>0</v>
      </c>
      <c r="R11" s="426">
        <v>29720.754260572656</v>
      </c>
      <c r="S11" s="426">
        <v>0</v>
      </c>
      <c r="T11" s="429">
        <v>0.77</v>
      </c>
      <c r="U11" s="426">
        <v>1.4956096145618287</v>
      </c>
      <c r="V11" s="426">
        <v>0.016666666666666666</v>
      </c>
      <c r="Y11" s="12"/>
      <c r="AA11" s="90" t="s">
        <v>258</v>
      </c>
      <c r="AB11" s="360">
        <v>25</v>
      </c>
      <c r="AC11" s="360">
        <v>5</v>
      </c>
      <c r="AD11" s="360">
        <f t="shared" si="4"/>
        <v>0</v>
      </c>
      <c r="AE11" s="360">
        <f t="shared" si="7"/>
        <v>0.875</v>
      </c>
      <c r="AF11" s="146">
        <v>0.3890272104567588</v>
      </c>
      <c r="AG11" s="52">
        <v>5</v>
      </c>
      <c r="AH11" s="52">
        <v>4.052366775591238</v>
      </c>
      <c r="AI11" s="52">
        <f t="shared" si="0"/>
        <v>5</v>
      </c>
      <c r="AJ11" s="52">
        <v>0.016666666666666666</v>
      </c>
      <c r="AK11" s="52">
        <v>0</v>
      </c>
      <c r="AL11" s="52">
        <f t="shared" si="5"/>
        <v>0.4761904761904762</v>
      </c>
      <c r="AM11" s="52">
        <f t="shared" si="1"/>
        <v>0.1525</v>
      </c>
      <c r="AN11" s="52">
        <f t="shared" si="6"/>
        <v>0.42792993150243475</v>
      </c>
      <c r="AO11" s="52">
        <f t="shared" si="2"/>
        <v>0.4351005542386219</v>
      </c>
      <c r="AP11" s="52">
        <v>3.204055556</v>
      </c>
      <c r="AQ11" s="275">
        <f t="shared" si="3"/>
        <v>1.1420674279722778</v>
      </c>
    </row>
    <row r="12" spans="1:43" ht="12.75">
      <c r="A12" t="s">
        <v>379</v>
      </c>
      <c r="H12" s="232">
        <v>328</v>
      </c>
      <c r="I12" s="232" t="s">
        <v>6</v>
      </c>
      <c r="J12" s="232" t="s">
        <v>252</v>
      </c>
      <c r="K12" s="232"/>
      <c r="L12" s="232">
        <v>60</v>
      </c>
      <c r="M12" s="232">
        <v>2</v>
      </c>
      <c r="N12" s="232"/>
      <c r="O12" s="232">
        <v>1.98162037</v>
      </c>
      <c r="P12" s="429"/>
      <c r="Q12" s="429">
        <v>0</v>
      </c>
      <c r="R12" s="429">
        <v>29720.754260572656</v>
      </c>
      <c r="S12" s="429">
        <v>0</v>
      </c>
      <c r="T12" s="429">
        <v>0.77</v>
      </c>
      <c r="U12" s="429">
        <v>1.4956096145618287</v>
      </c>
      <c r="V12" s="429">
        <v>0.016666666666666666</v>
      </c>
      <c r="Y12" s="12"/>
      <c r="AA12" s="90" t="s">
        <v>257</v>
      </c>
      <c r="AB12" s="360">
        <v>25</v>
      </c>
      <c r="AC12" s="360">
        <v>5</v>
      </c>
      <c r="AD12" s="360">
        <f t="shared" si="4"/>
        <v>0</v>
      </c>
      <c r="AE12" s="360">
        <f t="shared" si="7"/>
        <v>0.875</v>
      </c>
      <c r="AF12" s="146">
        <v>0.2840510639170767</v>
      </c>
      <c r="AG12" s="52">
        <v>1</v>
      </c>
      <c r="AH12" s="52">
        <v>1.1835460996544862</v>
      </c>
      <c r="AI12" s="52">
        <f t="shared" si="0"/>
        <v>2</v>
      </c>
      <c r="AJ12" s="52">
        <v>0.016666666666666666</v>
      </c>
      <c r="AK12" s="52" t="e">
        <v>#DIV/0!</v>
      </c>
      <c r="AL12" s="52">
        <f t="shared" si="5"/>
        <v>0.4761904761904762</v>
      </c>
      <c r="AM12" s="52">
        <f t="shared" si="1"/>
        <v>0.1525</v>
      </c>
      <c r="AN12" s="52">
        <f t="shared" si="6"/>
        <v>0.31245617030878436</v>
      </c>
      <c r="AO12" s="52">
        <f t="shared" si="2"/>
        <v>0.4646371460206746</v>
      </c>
      <c r="AP12" s="52">
        <v>3.204055556</v>
      </c>
      <c r="AQ12" s="275">
        <f t="shared" si="3"/>
        <v>1.219596125830695</v>
      </c>
    </row>
    <row r="13" spans="1:43" ht="12.75">
      <c r="A13" t="s">
        <v>376</v>
      </c>
      <c r="G13" s="234"/>
      <c r="H13" s="232">
        <v>361</v>
      </c>
      <c r="I13" s="232" t="s">
        <v>6</v>
      </c>
      <c r="J13" s="232" t="s">
        <v>252</v>
      </c>
      <c r="K13" s="232"/>
      <c r="L13" s="232">
        <v>60</v>
      </c>
      <c r="M13" s="232">
        <v>2</v>
      </c>
      <c r="N13" s="232"/>
      <c r="O13" s="232">
        <v>1.98162037</v>
      </c>
      <c r="P13" s="429"/>
      <c r="Q13" s="429">
        <v>0</v>
      </c>
      <c r="R13" s="429">
        <v>29720.754260572656</v>
      </c>
      <c r="S13" s="429">
        <v>0</v>
      </c>
      <c r="T13" s="429">
        <v>0.77</v>
      </c>
      <c r="U13" s="429">
        <v>1.4956096145618287</v>
      </c>
      <c r="V13" s="429">
        <v>0.016666666666666666</v>
      </c>
      <c r="Y13" s="12"/>
      <c r="AA13" s="90" t="s">
        <v>260</v>
      </c>
      <c r="AB13" s="360">
        <v>25</v>
      </c>
      <c r="AC13" s="360">
        <v>5</v>
      </c>
      <c r="AD13" s="360">
        <f t="shared" si="4"/>
        <v>0</v>
      </c>
      <c r="AE13" s="360">
        <f t="shared" si="7"/>
        <v>0.875</v>
      </c>
      <c r="AF13" s="146">
        <v>0.4166175525707643</v>
      </c>
      <c r="AG13" s="52">
        <v>5</v>
      </c>
      <c r="AH13" s="52">
        <v>3.4718129380897027</v>
      </c>
      <c r="AI13" s="52">
        <f t="shared" si="0"/>
        <v>4</v>
      </c>
      <c r="AJ13" s="52">
        <v>0.014285714285714285</v>
      </c>
      <c r="AK13" s="52">
        <v>0</v>
      </c>
      <c r="AL13" s="52">
        <f t="shared" si="5"/>
        <v>0.40816326530612246</v>
      </c>
      <c r="AM13" s="52">
        <f t="shared" si="1"/>
        <v>0.16125</v>
      </c>
      <c r="AN13" s="52">
        <f t="shared" si="6"/>
        <v>0.4582793078278408</v>
      </c>
      <c r="AO13" s="52">
        <f t="shared" si="2"/>
        <v>0.38786820729349797</v>
      </c>
      <c r="AP13" s="52">
        <v>3.204055556</v>
      </c>
      <c r="AQ13" s="275">
        <f t="shared" si="3"/>
        <v>1.018090281845435</v>
      </c>
    </row>
    <row r="14" spans="1:43" ht="12.75">
      <c r="A14" t="s">
        <v>380</v>
      </c>
      <c r="G14" s="234"/>
      <c r="H14" s="232">
        <v>68</v>
      </c>
      <c r="I14" s="232" t="s">
        <v>7</v>
      </c>
      <c r="J14" s="232" t="str">
        <f>+'Input Data'!I13</f>
        <v>CVD_Ins</v>
      </c>
      <c r="K14" s="232"/>
      <c r="L14" s="232">
        <v>50</v>
      </c>
      <c r="M14" s="414">
        <v>1.5</v>
      </c>
      <c r="N14" s="423"/>
      <c r="O14" s="232">
        <v>3.204055556</v>
      </c>
      <c r="P14" s="426"/>
      <c r="Q14" s="74">
        <f>+WS*LY^(($H59-1)/$B$24)*P14</f>
        <v>0</v>
      </c>
      <c r="R14" s="74">
        <f>+WS*LY^(($H59-1)/$B$24)*M14</f>
        <v>36980.48031449815</v>
      </c>
      <c r="S14" s="74">
        <f>+WS*LY^(($H59-1)/$B$24)*N14</f>
        <v>0</v>
      </c>
      <c r="T14" s="70">
        <f>+'Input Data'!$J$13</f>
        <v>0.36</v>
      </c>
      <c r="U14" s="74">
        <f>+WS*(LY^((+H59-1)/$B$24))*(1/L14)/(1-T14)/720</f>
        <v>1.0700370461370992</v>
      </c>
      <c r="V14" s="74">
        <f>1/L14</f>
        <v>0.02</v>
      </c>
      <c r="Y14" s="106" t="s">
        <v>252</v>
      </c>
      <c r="AA14" s="90" t="s">
        <v>259</v>
      </c>
      <c r="AB14" s="360">
        <v>25</v>
      </c>
      <c r="AC14" s="360">
        <v>5</v>
      </c>
      <c r="AD14" s="360">
        <f t="shared" si="4"/>
        <v>0</v>
      </c>
      <c r="AE14" s="360">
        <f t="shared" si="7"/>
        <v>0.875</v>
      </c>
      <c r="AF14" s="146">
        <v>0.24514663945834358</v>
      </c>
      <c r="AG14" s="52">
        <v>1</v>
      </c>
      <c r="AH14" s="52">
        <v>1.0214443310764316</v>
      </c>
      <c r="AI14" s="52">
        <f t="shared" si="0"/>
        <v>2</v>
      </c>
      <c r="AJ14" s="52">
        <v>0.014285714285714285</v>
      </c>
      <c r="AK14" s="52" t="e">
        <v>#DIV/0!</v>
      </c>
      <c r="AL14" s="52">
        <f t="shared" si="5"/>
        <v>0.40816326530612246</v>
      </c>
      <c r="AM14" s="52">
        <f t="shared" si="1"/>
        <v>0.16125</v>
      </c>
      <c r="AN14" s="52">
        <f t="shared" si="6"/>
        <v>0.269661303404178</v>
      </c>
      <c r="AO14" s="52">
        <f t="shared" si="2"/>
        <v>0.3882417867120476</v>
      </c>
      <c r="AP14" s="52">
        <v>3.204055556</v>
      </c>
      <c r="AQ14" s="275">
        <f t="shared" si="3"/>
        <v>1.0190708664057857</v>
      </c>
    </row>
    <row r="15" spans="1:43" ht="12.75">
      <c r="A15" t="s">
        <v>381</v>
      </c>
      <c r="G15" s="234"/>
      <c r="H15" s="232">
        <v>70</v>
      </c>
      <c r="I15" s="232" t="s">
        <v>8</v>
      </c>
      <c r="J15" s="232" t="str">
        <f>+'Input Data'!I13</f>
        <v>CVD_Ins</v>
      </c>
      <c r="K15" s="232"/>
      <c r="L15" s="232">
        <v>40</v>
      </c>
      <c r="M15" s="414">
        <v>1.5</v>
      </c>
      <c r="N15" s="423"/>
      <c r="O15" s="232">
        <v>3.204055556</v>
      </c>
      <c r="P15" s="426"/>
      <c r="Q15" s="74">
        <f>+WS*LY^(($H60-1)/$B$24)*P15</f>
        <v>0</v>
      </c>
      <c r="R15" s="74">
        <f>+WS*LY^(($H60-1)/$B$24)*M15</f>
        <v>36917.479074159084</v>
      </c>
      <c r="S15" s="74">
        <f>+WS*LY^(($H60-1)/$B$24)*N15</f>
        <v>0</v>
      </c>
      <c r="T15" s="70">
        <f>+'Input Data'!$J$13</f>
        <v>0.36</v>
      </c>
      <c r="U15" s="74">
        <f>+WS*(LY^((+H60-1)/$B$24))*(1/L15)/(1-T15)/720</f>
        <v>1.3352676169762399</v>
      </c>
      <c r="V15" s="74">
        <f>1/L15</f>
        <v>0.025</v>
      </c>
      <c r="Y15" s="106" t="s">
        <v>255</v>
      </c>
      <c r="AA15" s="90" t="s">
        <v>264</v>
      </c>
      <c r="AB15" s="360">
        <v>25</v>
      </c>
      <c r="AC15" s="360">
        <v>5</v>
      </c>
      <c r="AD15" s="360">
        <f t="shared" si="4"/>
        <v>0</v>
      </c>
      <c r="AE15" s="360">
        <v>0.85</v>
      </c>
      <c r="AF15" s="146">
        <v>0.46277163462677356</v>
      </c>
      <c r="AG15" s="52">
        <v>1</v>
      </c>
      <c r="AH15" s="52">
        <v>2.35307610827173</v>
      </c>
      <c r="AI15" s="52">
        <f t="shared" si="0"/>
        <v>3</v>
      </c>
      <c r="AJ15" s="52">
        <v>0.04</v>
      </c>
      <c r="AK15" s="52" t="e">
        <v>#DIV/0!</v>
      </c>
      <c r="AL15" s="52">
        <f t="shared" si="5"/>
        <v>1.1764705882352942</v>
      </c>
      <c r="AM15" s="52">
        <f t="shared" si="1"/>
        <v>0.1255</v>
      </c>
      <c r="AN15" s="52">
        <f t="shared" si="6"/>
        <v>0.5090487980894509</v>
      </c>
      <c r="AO15" s="52">
        <f t="shared" si="2"/>
        <v>1.215469268241791</v>
      </c>
      <c r="AP15" s="52">
        <v>4.683229167</v>
      </c>
      <c r="AQ15" s="275">
        <f t="shared" si="3"/>
        <v>3.190407016119193</v>
      </c>
    </row>
    <row r="16" spans="1:43" ht="12.75">
      <c r="A16" t="s">
        <v>382</v>
      </c>
      <c r="G16" s="234"/>
      <c r="H16" s="232">
        <v>76</v>
      </c>
      <c r="I16" s="232" t="s">
        <v>9</v>
      </c>
      <c r="J16" s="232" t="str">
        <f>+'Input Data'!I13</f>
        <v>CVD_Ins</v>
      </c>
      <c r="K16" s="232"/>
      <c r="L16" s="232">
        <v>50</v>
      </c>
      <c r="M16" s="414">
        <v>1.5</v>
      </c>
      <c r="N16" s="423"/>
      <c r="O16" s="232">
        <v>3.204055556</v>
      </c>
      <c r="P16" s="426"/>
      <c r="Q16" s="74">
        <f>+WS*LY^(($H174-1)/$B$24)*P16</f>
        <v>0</v>
      </c>
      <c r="R16" s="74">
        <f aca="true" t="shared" si="8" ref="R16:S18">+WS*LY^(($H174-1)/$B$24)*M16</f>
        <v>36986.21302851552</v>
      </c>
      <c r="S16" s="74">
        <f t="shared" si="8"/>
        <v>0</v>
      </c>
      <c r="T16" s="70">
        <f>+'Input Data'!$J$13</f>
        <v>0.36</v>
      </c>
      <c r="U16" s="74">
        <f>+WS*(LY^((+H174-1)/$B$24))*(1/L16)/(1-T16)/720</f>
        <v>1.0702029232788055</v>
      </c>
      <c r="V16" s="74">
        <f>1/L16</f>
        <v>0.02</v>
      </c>
      <c r="Y16" s="106" t="s">
        <v>253</v>
      </c>
      <c r="AA16" s="90" t="s">
        <v>261</v>
      </c>
      <c r="AB16" s="360">
        <v>25</v>
      </c>
      <c r="AC16" s="360">
        <v>5</v>
      </c>
      <c r="AD16" s="360">
        <f t="shared" si="4"/>
        <v>0</v>
      </c>
      <c r="AE16" s="360">
        <f aca="true" t="shared" si="9" ref="AE16:AE22">AE15</f>
        <v>0.85</v>
      </c>
      <c r="AF16" s="146">
        <v>0.4537505912574346</v>
      </c>
      <c r="AG16" s="52">
        <v>1</v>
      </c>
      <c r="AH16" s="52">
        <v>2.56839957315529</v>
      </c>
      <c r="AI16" s="52">
        <f t="shared" si="0"/>
        <v>3</v>
      </c>
      <c r="AJ16" s="52">
        <v>0.04</v>
      </c>
      <c r="AK16" s="52" t="e">
        <v>#DIV/0!</v>
      </c>
      <c r="AL16" s="52">
        <f t="shared" si="5"/>
        <v>1.1764705882352942</v>
      </c>
      <c r="AM16" s="52">
        <f t="shared" si="1"/>
        <v>0.1255</v>
      </c>
      <c r="AN16" s="52">
        <f t="shared" si="6"/>
        <v>0.49912565038317813</v>
      </c>
      <c r="AO16" s="52">
        <f t="shared" si="2"/>
        <v>1.2019732036960675</v>
      </c>
      <c r="AP16" s="52">
        <v>4.683229167</v>
      </c>
      <c r="AQ16" s="275">
        <f t="shared" si="3"/>
        <v>3.154982065327177</v>
      </c>
    </row>
    <row r="17" spans="1:43" ht="12.75">
      <c r="A17" t="s">
        <v>383</v>
      </c>
      <c r="G17" s="234"/>
      <c r="H17" s="232">
        <v>103</v>
      </c>
      <c r="I17" s="232" t="s">
        <v>10</v>
      </c>
      <c r="J17" s="232" t="str">
        <f>+'Input Data'!I14</f>
        <v>CVD_Ins(C) </v>
      </c>
      <c r="K17" s="232"/>
      <c r="L17" s="232">
        <v>30</v>
      </c>
      <c r="M17" s="414">
        <v>1.5</v>
      </c>
      <c r="N17" s="423"/>
      <c r="O17" s="232">
        <v>3.204055556</v>
      </c>
      <c r="P17" s="426"/>
      <c r="Q17" s="74">
        <f>+WS*LY^(($H175-1)/$B$24)*P17</f>
        <v>0</v>
      </c>
      <c r="R17" s="74">
        <f t="shared" si="8"/>
        <v>36974.74848902835</v>
      </c>
      <c r="S17" s="74">
        <f t="shared" si="8"/>
        <v>0</v>
      </c>
      <c r="T17" s="70">
        <f>+'Input Data'!$J$14</f>
        <v>0.36</v>
      </c>
      <c r="U17" s="74">
        <f>+WS*(LY^((+H175-1)/$B$24))*(1/L17)/(1-T17)/720</f>
        <v>1.7831186578428024</v>
      </c>
      <c r="V17" s="74">
        <f>1/L17</f>
        <v>0.03333333333333333</v>
      </c>
      <c r="Y17" s="106" t="s">
        <v>254</v>
      </c>
      <c r="AA17" s="90" t="s">
        <v>262</v>
      </c>
      <c r="AB17" s="360">
        <v>25</v>
      </c>
      <c r="AC17" s="360">
        <v>5</v>
      </c>
      <c r="AD17" s="360">
        <f t="shared" si="4"/>
        <v>0</v>
      </c>
      <c r="AE17" s="360">
        <f t="shared" si="9"/>
        <v>0.85</v>
      </c>
      <c r="AF17" s="146">
        <v>0.5161336312733582</v>
      </c>
      <c r="AG17" s="52">
        <v>11</v>
      </c>
      <c r="AH17" s="52">
        <v>12.65988152179935</v>
      </c>
      <c r="AI17" s="52">
        <f t="shared" si="0"/>
        <v>13</v>
      </c>
      <c r="AJ17" s="52">
        <v>0.025</v>
      </c>
      <c r="AK17" s="52">
        <v>6.944444444444472E-05</v>
      </c>
      <c r="AL17" s="52">
        <f t="shared" si="5"/>
        <v>0.7352941176470589</v>
      </c>
      <c r="AM17" s="52">
        <f t="shared" si="1"/>
        <v>0.25191111111111153</v>
      </c>
      <c r="AN17" s="52">
        <f t="shared" si="6"/>
        <v>0.5677469944006941</v>
      </c>
      <c r="AO17" s="52">
        <f t="shared" si="2"/>
        <v>0.6438666729412341</v>
      </c>
      <c r="AP17" s="52">
        <v>4.683229167</v>
      </c>
      <c r="AQ17" s="275">
        <f t="shared" si="3"/>
        <v>1.6900441701570015</v>
      </c>
    </row>
    <row r="18" spans="8:43" ht="12.75">
      <c r="H18" s="232">
        <v>118</v>
      </c>
      <c r="I18" s="232" t="s">
        <v>11</v>
      </c>
      <c r="J18" s="232" t="str">
        <f>+'Input Data'!I14</f>
        <v>CVD_Ins(C) </v>
      </c>
      <c r="K18" s="232"/>
      <c r="L18" s="232">
        <v>25</v>
      </c>
      <c r="M18" s="414">
        <v>1.5</v>
      </c>
      <c r="N18" s="423"/>
      <c r="O18" s="232">
        <v>3.204055556</v>
      </c>
      <c r="P18" s="426"/>
      <c r="Q18" s="74">
        <f>+WS*LY^(($H176-1)/$B$24)*P18</f>
        <v>0</v>
      </c>
      <c r="R18" s="74">
        <f t="shared" si="8"/>
        <v>36963.28750318063</v>
      </c>
      <c r="S18" s="74">
        <f t="shared" si="8"/>
        <v>0</v>
      </c>
      <c r="T18" s="70">
        <f>+'Input Data'!$J$14</f>
        <v>0.36</v>
      </c>
      <c r="U18" s="74">
        <f>+WS*(LY^((+H176-1)/$B$24))*(1/L18)/(1-T18)/720</f>
        <v>2.1390791379155463</v>
      </c>
      <c r="V18" s="74">
        <f>1/L18</f>
        <v>0.04</v>
      </c>
      <c r="Y18" s="106" t="s">
        <v>256</v>
      </c>
      <c r="AA18" s="90" t="s">
        <v>263</v>
      </c>
      <c r="AB18" s="360">
        <v>25</v>
      </c>
      <c r="AC18" s="360">
        <v>5</v>
      </c>
      <c r="AD18" s="360">
        <f t="shared" si="4"/>
        <v>0</v>
      </c>
      <c r="AE18" s="360">
        <f t="shared" si="9"/>
        <v>0.85</v>
      </c>
      <c r="AF18" s="146">
        <v>0.49987867224819055</v>
      </c>
      <c r="AG18" s="52">
        <v>4</v>
      </c>
      <c r="AH18" s="52">
        <v>8.488505755157952</v>
      </c>
      <c r="AI18" s="52">
        <f t="shared" si="0"/>
        <v>9</v>
      </c>
      <c r="AJ18" s="52">
        <v>0.03666666666666667</v>
      </c>
      <c r="AK18" s="52">
        <v>1.481481481481482E-05</v>
      </c>
      <c r="AL18" s="52">
        <f t="shared" si="5"/>
        <v>1.0784313725490196</v>
      </c>
      <c r="AM18" s="52">
        <f t="shared" si="1"/>
        <v>0.1388374655647383</v>
      </c>
      <c r="AN18" s="52">
        <f t="shared" si="6"/>
        <v>0.5498665394730097</v>
      </c>
      <c r="AO18" s="52">
        <f t="shared" si="2"/>
        <v>0.9592550699045188</v>
      </c>
      <c r="AP18" s="52">
        <v>3.90191383425</v>
      </c>
      <c r="AQ18" s="275">
        <f t="shared" si="3"/>
        <v>2.5178868649622506</v>
      </c>
    </row>
    <row r="19" spans="8:43" ht="12.75">
      <c r="H19" s="232">
        <v>278</v>
      </c>
      <c r="I19" s="232" t="s">
        <v>10</v>
      </c>
      <c r="J19" s="232" t="s">
        <v>253</v>
      </c>
      <c r="K19" s="232"/>
      <c r="L19" s="232">
        <v>30</v>
      </c>
      <c r="M19" s="232">
        <v>1.5</v>
      </c>
      <c r="N19" s="232"/>
      <c r="O19" s="232">
        <v>3.204055556</v>
      </c>
      <c r="P19" s="429"/>
      <c r="Q19" s="429">
        <v>0</v>
      </c>
      <c r="R19" s="429">
        <v>22265.119889709487</v>
      </c>
      <c r="S19" s="429">
        <v>0</v>
      </c>
      <c r="T19" s="429">
        <v>0.36</v>
      </c>
      <c r="U19" s="429">
        <v>1.0737422786318231</v>
      </c>
      <c r="V19" s="429">
        <v>0.03333333333333333</v>
      </c>
      <c r="Y19" s="12"/>
      <c r="AA19" s="90" t="s">
        <v>265</v>
      </c>
      <c r="AB19" s="360">
        <v>25</v>
      </c>
      <c r="AC19" s="360">
        <v>5</v>
      </c>
      <c r="AD19" s="360">
        <f t="shared" si="4"/>
        <v>0</v>
      </c>
      <c r="AE19" s="360">
        <f t="shared" si="9"/>
        <v>0.85</v>
      </c>
      <c r="AF19" s="146">
        <v>0.555142416594071</v>
      </c>
      <c r="AG19" s="52">
        <v>5</v>
      </c>
      <c r="AH19" s="52">
        <v>6.586435451116097</v>
      </c>
      <c r="AI19" s="52">
        <f t="shared" si="0"/>
        <v>7</v>
      </c>
      <c r="AJ19" s="52">
        <v>0.03333333333333333</v>
      </c>
      <c r="AK19" s="52">
        <v>0</v>
      </c>
      <c r="AL19" s="52">
        <f t="shared" si="5"/>
        <v>0.9803921568627452</v>
      </c>
      <c r="AM19" s="52">
        <f t="shared" si="1"/>
        <v>0.1306</v>
      </c>
      <c r="AN19" s="52">
        <f t="shared" si="6"/>
        <v>0.6106566582534781</v>
      </c>
      <c r="AO19" s="52">
        <f t="shared" si="2"/>
        <v>0.9375921669789785</v>
      </c>
      <c r="AP19" s="52">
        <v>4.189074074</v>
      </c>
      <c r="AQ19" s="275">
        <f t="shared" si="3"/>
        <v>2.461025305983366</v>
      </c>
    </row>
    <row r="20" spans="8:43" ht="12.75">
      <c r="H20" s="232">
        <v>311</v>
      </c>
      <c r="I20" s="232" t="s">
        <v>10</v>
      </c>
      <c r="J20" s="232" t="s">
        <v>253</v>
      </c>
      <c r="K20" s="232"/>
      <c r="L20" s="232">
        <v>30</v>
      </c>
      <c r="M20" s="232">
        <v>1.5</v>
      </c>
      <c r="N20" s="232"/>
      <c r="O20" s="232">
        <v>3.204055556</v>
      </c>
      <c r="P20" s="429"/>
      <c r="Q20" s="429">
        <v>0</v>
      </c>
      <c r="R20" s="429">
        <v>22265.119889709487</v>
      </c>
      <c r="S20" s="429">
        <v>0</v>
      </c>
      <c r="T20" s="429">
        <v>0.36</v>
      </c>
      <c r="U20" s="429">
        <v>1.0737422786318231</v>
      </c>
      <c r="V20" s="429">
        <v>0.03333333333333333</v>
      </c>
      <c r="Y20" s="12"/>
      <c r="AA20" s="90" t="s">
        <v>23</v>
      </c>
      <c r="AB20" s="360">
        <v>25</v>
      </c>
      <c r="AC20" s="360">
        <v>5</v>
      </c>
      <c r="AD20" s="360">
        <v>0</v>
      </c>
      <c r="AE20" s="360">
        <f t="shared" si="9"/>
        <v>0.85</v>
      </c>
      <c r="AF20" s="146">
        <v>0.5780462503515443</v>
      </c>
      <c r="AG20" s="52">
        <v>1</v>
      </c>
      <c r="AH20" s="52">
        <v>1.778603847235521</v>
      </c>
      <c r="AI20" s="52">
        <f t="shared" si="0"/>
        <v>2</v>
      </c>
      <c r="AJ20" s="52">
        <v>0.03333333333333333</v>
      </c>
      <c r="AK20" s="52" t="e">
        <v>#DIV/0!</v>
      </c>
      <c r="AL20" s="52">
        <f t="shared" si="5"/>
        <v>0.9803921568627452</v>
      </c>
      <c r="AM20" s="52">
        <f t="shared" si="1"/>
        <v>0.1306</v>
      </c>
      <c r="AN20" s="52">
        <f t="shared" si="6"/>
        <v>0.6358508753866988</v>
      </c>
      <c r="AO20" s="52">
        <f t="shared" si="2"/>
        <v>1.5554767717858393</v>
      </c>
      <c r="AP20" s="52">
        <v>1.557967836</v>
      </c>
      <c r="AQ20" s="275">
        <f t="shared" si="3"/>
        <v>4.082870818523051</v>
      </c>
    </row>
    <row r="21" spans="1:43" ht="12.75">
      <c r="A21" t="s">
        <v>246</v>
      </c>
      <c r="G21" s="234"/>
      <c r="H21" s="232">
        <v>344</v>
      </c>
      <c r="I21" s="232" t="s">
        <v>10</v>
      </c>
      <c r="J21" s="232" t="s">
        <v>253</v>
      </c>
      <c r="K21" s="232"/>
      <c r="L21" s="232">
        <v>30</v>
      </c>
      <c r="M21" s="232">
        <v>1.5</v>
      </c>
      <c r="N21" s="232"/>
      <c r="O21" s="232">
        <v>3.204055556</v>
      </c>
      <c r="P21" s="429"/>
      <c r="Q21" s="429">
        <v>0</v>
      </c>
      <c r="R21" s="429">
        <v>22265.119889709487</v>
      </c>
      <c r="S21" s="429">
        <v>0</v>
      </c>
      <c r="T21" s="429">
        <v>0.36</v>
      </c>
      <c r="U21" s="429">
        <v>1.0737422786318231</v>
      </c>
      <c r="V21" s="429">
        <v>0.03333333333333333</v>
      </c>
      <c r="Y21" s="12"/>
      <c r="AA21" s="90" t="s">
        <v>266</v>
      </c>
      <c r="AB21" s="360">
        <v>25</v>
      </c>
      <c r="AC21" s="360">
        <v>5</v>
      </c>
      <c r="AD21" s="360">
        <v>0</v>
      </c>
      <c r="AE21" s="360">
        <f t="shared" si="9"/>
        <v>0.85</v>
      </c>
      <c r="AF21" s="146">
        <v>0.6458262415163813</v>
      </c>
      <c r="AG21" s="52">
        <v>3</v>
      </c>
      <c r="AH21" s="52">
        <v>1.9871576662042503</v>
      </c>
      <c r="AI21" s="52">
        <f t="shared" si="0"/>
        <v>2</v>
      </c>
      <c r="AJ21" s="52">
        <v>0.0125</v>
      </c>
      <c r="AK21" s="52">
        <v>4.513898307157584E-36</v>
      </c>
      <c r="AL21" s="52">
        <f t="shared" si="5"/>
        <v>0.36764705882352944</v>
      </c>
      <c r="AM21" s="52">
        <f t="shared" si="1"/>
        <v>0.1816</v>
      </c>
      <c r="AN21" s="52">
        <f t="shared" si="6"/>
        <v>0.7104088656680195</v>
      </c>
      <c r="AO21" s="52">
        <f t="shared" si="2"/>
        <v>0.8223848741967598</v>
      </c>
      <c r="AP21" s="52">
        <v>1.5579678360000002</v>
      </c>
      <c r="AQ21" s="275">
        <f t="shared" si="3"/>
        <v>2.158625101548603</v>
      </c>
    </row>
    <row r="22" spans="7:43" ht="12.75">
      <c r="G22" s="234"/>
      <c r="H22" s="232">
        <v>377</v>
      </c>
      <c r="I22" s="232" t="s">
        <v>10</v>
      </c>
      <c r="J22" s="232" t="s">
        <v>253</v>
      </c>
      <c r="K22" s="232"/>
      <c r="L22" s="232">
        <v>30</v>
      </c>
      <c r="M22" s="232">
        <v>1.5</v>
      </c>
      <c r="N22" s="232"/>
      <c r="O22" s="232">
        <v>3.204055556</v>
      </c>
      <c r="P22" s="429"/>
      <c r="Q22" s="429">
        <v>0</v>
      </c>
      <c r="R22" s="429">
        <v>22265.119889709487</v>
      </c>
      <c r="S22" s="429">
        <v>0</v>
      </c>
      <c r="T22" s="429">
        <v>0.36</v>
      </c>
      <c r="U22" s="429">
        <v>1.0737422786318231</v>
      </c>
      <c r="V22" s="429">
        <v>0.03333333333333333</v>
      </c>
      <c r="Y22" s="12"/>
      <c r="AA22" s="90" t="s">
        <v>267</v>
      </c>
      <c r="AB22" s="360">
        <v>25</v>
      </c>
      <c r="AC22" s="360">
        <v>5</v>
      </c>
      <c r="AD22" s="360">
        <f t="shared" si="4"/>
        <v>0</v>
      </c>
      <c r="AE22" s="360">
        <f t="shared" si="9"/>
        <v>0.85</v>
      </c>
      <c r="AF22" s="146">
        <v>0.6167528655268348</v>
      </c>
      <c r="AG22" s="52">
        <v>17</v>
      </c>
      <c r="AH22" s="52">
        <v>7.590804498791813</v>
      </c>
      <c r="AI22" s="52">
        <f t="shared" si="0"/>
        <v>8</v>
      </c>
      <c r="AJ22" s="52">
        <v>0.0125</v>
      </c>
      <c r="AK22" s="52">
        <v>3.197344634236622E-36</v>
      </c>
      <c r="AL22" s="52">
        <f t="shared" si="5"/>
        <v>0.36764705882352944</v>
      </c>
      <c r="AM22" s="52">
        <f t="shared" si="1"/>
        <v>0.1816</v>
      </c>
      <c r="AN22" s="52">
        <f t="shared" si="6"/>
        <v>0.6784281520795183</v>
      </c>
      <c r="AO22" s="52">
        <f t="shared" si="2"/>
        <v>0.37725169182883533</v>
      </c>
      <c r="AP22" s="52">
        <v>1.5579678359999998</v>
      </c>
      <c r="AQ22" s="275">
        <f t="shared" si="3"/>
        <v>0.9902236740173384</v>
      </c>
    </row>
    <row r="23" spans="7:43" ht="12.75">
      <c r="G23" s="234"/>
      <c r="H23" s="232">
        <v>18</v>
      </c>
      <c r="I23" s="232" t="s">
        <v>12</v>
      </c>
      <c r="J23" s="232" t="str">
        <f>+'Input Data'!I15</f>
        <v>CVD_Ins(I)</v>
      </c>
      <c r="K23" s="232"/>
      <c r="L23" s="232">
        <v>50</v>
      </c>
      <c r="M23" s="414">
        <v>1.5</v>
      </c>
      <c r="N23" s="423"/>
      <c r="O23" s="232">
        <v>3.204055556</v>
      </c>
      <c r="P23" s="426"/>
      <c r="Q23" s="74">
        <f>+WS*LY^(($H23-1)/$B$24)*P23</f>
        <v>0</v>
      </c>
      <c r="R23" s="74">
        <f>+WS*LY^(($H23-1)/$B$24)*M23</f>
        <v>37467.07526559428</v>
      </c>
      <c r="S23" s="74">
        <f>+WS*LY^(($H23-1)/$B$24)*N23</f>
        <v>0</v>
      </c>
      <c r="T23" s="70">
        <f>+'Input Data'!$J$15</f>
        <v>0.36</v>
      </c>
      <c r="U23" s="74">
        <f>+WS*(LY^((+H23-1)/$B$24))*(1/L23)/(1-T23)/720</f>
        <v>1.084116761157242</v>
      </c>
      <c r="V23" s="74">
        <f>1/L23</f>
        <v>0.02</v>
      </c>
      <c r="Y23" s="106" t="s">
        <v>258</v>
      </c>
      <c r="AA23" s="90" t="s">
        <v>268</v>
      </c>
      <c r="AB23" s="360">
        <v>150</v>
      </c>
      <c r="AC23" s="360">
        <v>5</v>
      </c>
      <c r="AD23" s="360">
        <v>0</v>
      </c>
      <c r="AE23" s="360">
        <v>0.893</v>
      </c>
      <c r="AF23" s="146">
        <v>0.4855100742013929</v>
      </c>
      <c r="AG23" s="52">
        <v>6</v>
      </c>
      <c r="AH23" s="52">
        <v>7.768161187222287</v>
      </c>
      <c r="AI23" s="52">
        <f t="shared" si="0"/>
        <v>8</v>
      </c>
      <c r="AJ23" s="52">
        <v>0.02</v>
      </c>
      <c r="AK23" s="52">
        <v>0</v>
      </c>
      <c r="AL23" s="52">
        <f t="shared" si="5"/>
        <v>3.3594624860022395</v>
      </c>
      <c r="AM23" s="52">
        <f t="shared" si="1"/>
        <v>0.10637006666666668</v>
      </c>
      <c r="AN23" s="52">
        <f t="shared" si="6"/>
        <v>0.5340610816215322</v>
      </c>
      <c r="AO23" s="52">
        <f t="shared" si="2"/>
        <v>3.10912580687985</v>
      </c>
      <c r="AP23" s="52">
        <v>10.41560185</v>
      </c>
      <c r="AQ23" s="275">
        <f t="shared" si="3"/>
        <v>8.160944128694728</v>
      </c>
    </row>
    <row r="24" spans="1:43" ht="12.75">
      <c r="A24" s="7" t="s">
        <v>206</v>
      </c>
      <c r="B24">
        <f>COUNT(H2:H899)</f>
        <v>391</v>
      </c>
      <c r="G24" s="234"/>
      <c r="H24" s="232">
        <v>90</v>
      </c>
      <c r="I24" s="232" t="s">
        <v>13</v>
      </c>
      <c r="J24" s="232" t="str">
        <f>+'Input Data'!I16</f>
        <v>CVD_Ins_Thin</v>
      </c>
      <c r="K24" s="232"/>
      <c r="L24" s="232">
        <v>100</v>
      </c>
      <c r="M24" s="414">
        <v>1</v>
      </c>
      <c r="N24" s="423"/>
      <c r="O24" s="232">
        <v>3.204055556</v>
      </c>
      <c r="P24" s="426"/>
      <c r="Q24" s="74">
        <f>+WS*LY^(($H182-1)/$B$24)*P24</f>
        <v>0</v>
      </c>
      <c r="R24" s="74">
        <f>+WS*LY^(($H182-1)/$B$24)*M24</f>
        <v>24607.83800908516</v>
      </c>
      <c r="S24" s="74">
        <f>+WS*LY^(($H182-1)/$B$24)*N24</f>
        <v>0</v>
      </c>
      <c r="T24" s="70">
        <f>+'Input Data'!$J$16</f>
        <v>0.36</v>
      </c>
      <c r="U24" s="74">
        <f>+WS*(LY^((+H182-1)/$B$24))*(1/L24)/(1-T24)/720</f>
        <v>0.5340242623499384</v>
      </c>
      <c r="V24" s="74">
        <f>1/L24</f>
        <v>0.01</v>
      </c>
      <c r="Y24" s="106" t="s">
        <v>257</v>
      </c>
      <c r="AA24" s="90" t="s">
        <v>269</v>
      </c>
      <c r="AB24" s="360">
        <v>150</v>
      </c>
      <c r="AC24" s="360">
        <v>5</v>
      </c>
      <c r="AD24" s="360">
        <f t="shared" si="4"/>
        <v>0</v>
      </c>
      <c r="AE24" s="360">
        <f>AE23</f>
        <v>0.893</v>
      </c>
      <c r="AF24" s="146">
        <v>0.3857426713073238</v>
      </c>
      <c r="AG24" s="52">
        <v>1</v>
      </c>
      <c r="AH24" s="52">
        <v>2.314456027843943</v>
      </c>
      <c r="AI24" s="52">
        <f t="shared" si="0"/>
        <v>3</v>
      </c>
      <c r="AJ24" s="52">
        <v>0.03333333333333333</v>
      </c>
      <c r="AK24" s="52" t="e">
        <v>#DIV/0!</v>
      </c>
      <c r="AL24" s="52">
        <f t="shared" si="5"/>
        <v>5.599104143337066</v>
      </c>
      <c r="AM24" s="52">
        <f t="shared" si="1"/>
        <v>0.10382204</v>
      </c>
      <c r="AN24" s="52">
        <f t="shared" si="6"/>
        <v>0.42431693843805623</v>
      </c>
      <c r="AO24" s="52">
        <f t="shared" si="2"/>
        <v>5.503456618411466</v>
      </c>
      <c r="AP24" s="52">
        <v>14.27951389</v>
      </c>
      <c r="AQ24" s="275">
        <f t="shared" si="3"/>
        <v>14.445668900939022</v>
      </c>
    </row>
    <row r="25" spans="7:43" ht="12.75">
      <c r="G25" s="234"/>
      <c r="H25" s="232">
        <v>265</v>
      </c>
      <c r="I25" s="232" t="s">
        <v>13</v>
      </c>
      <c r="J25" s="232" t="s">
        <v>256</v>
      </c>
      <c r="K25" s="232"/>
      <c r="L25" s="232">
        <v>100</v>
      </c>
      <c r="M25" s="232">
        <v>1</v>
      </c>
      <c r="N25" s="232"/>
      <c r="O25" s="232">
        <v>3.204055556</v>
      </c>
      <c r="P25" s="429"/>
      <c r="Q25" s="429">
        <v>0</v>
      </c>
      <c r="R25" s="429">
        <v>14857.194928476105</v>
      </c>
      <c r="S25" s="429">
        <v>0</v>
      </c>
      <c r="T25" s="429">
        <v>0.36</v>
      </c>
      <c r="U25" s="429">
        <v>0.3224217649408877</v>
      </c>
      <c r="V25" s="429">
        <v>0.01</v>
      </c>
      <c r="Y25" s="12"/>
      <c r="AA25" s="90" t="s">
        <v>271</v>
      </c>
      <c r="AB25" s="360">
        <v>25</v>
      </c>
      <c r="AC25" s="360">
        <v>5</v>
      </c>
      <c r="AD25" s="360">
        <f t="shared" si="4"/>
        <v>0</v>
      </c>
      <c r="AE25" s="360">
        <f>AE24</f>
        <v>0.893</v>
      </c>
      <c r="AF25" s="146">
        <v>0.4554168099781403</v>
      </c>
      <c r="AG25" s="52">
        <v>7</v>
      </c>
      <c r="AH25" s="52">
        <v>10.019169819519087</v>
      </c>
      <c r="AI25" s="52">
        <f t="shared" si="0"/>
        <v>11</v>
      </c>
      <c r="AJ25" s="52">
        <v>0.027346938775510206</v>
      </c>
      <c r="AK25" s="52">
        <v>1.0495626822157432E-05</v>
      </c>
      <c r="AL25" s="52">
        <f t="shared" si="5"/>
        <v>0.7655917910277213</v>
      </c>
      <c r="AM25" s="52">
        <f t="shared" si="1"/>
        <v>0.14198653891735352</v>
      </c>
      <c r="AN25" s="52">
        <f t="shared" si="6"/>
        <v>0.5009584909759544</v>
      </c>
      <c r="AO25" s="52">
        <f t="shared" si="2"/>
        <v>0.6931777069460079</v>
      </c>
      <c r="AP25" s="52">
        <v>3.1747916670000005</v>
      </c>
      <c r="AQ25" s="275">
        <f t="shared" si="3"/>
        <v>1.8194775280966005</v>
      </c>
    </row>
    <row r="26" spans="1:43" ht="12.75">
      <c r="A26" t="s">
        <v>159</v>
      </c>
      <c r="B26" s="81"/>
      <c r="C26" s="3">
        <f>SUM(V2:V899)</f>
        <v>4.963380952380934</v>
      </c>
      <c r="D26" s="3">
        <f>SUM(W2:W899)</f>
        <v>0</v>
      </c>
      <c r="E26" s="3">
        <f>SUM(X2:X899)</f>
        <v>0</v>
      </c>
      <c r="G26" s="234"/>
      <c r="H26" s="232">
        <v>298</v>
      </c>
      <c r="I26" s="232" t="s">
        <v>13</v>
      </c>
      <c r="J26" s="232" t="s">
        <v>256</v>
      </c>
      <c r="K26" s="232"/>
      <c r="L26" s="232">
        <v>100</v>
      </c>
      <c r="M26" s="414">
        <v>1</v>
      </c>
      <c r="N26" s="423"/>
      <c r="O26" s="232">
        <v>3.204055556</v>
      </c>
      <c r="P26" s="426"/>
      <c r="Q26" s="426">
        <v>0</v>
      </c>
      <c r="R26" s="426">
        <v>14857.194928476105</v>
      </c>
      <c r="S26" s="426">
        <v>0</v>
      </c>
      <c r="T26" s="429">
        <v>0.36</v>
      </c>
      <c r="U26" s="426">
        <v>0.3224217649408877</v>
      </c>
      <c r="V26" s="426">
        <v>0.01</v>
      </c>
      <c r="Y26" s="12"/>
      <c r="AA26" s="90" t="s">
        <v>270</v>
      </c>
      <c r="AB26" s="360">
        <v>25</v>
      </c>
      <c r="AC26" s="360">
        <v>5</v>
      </c>
      <c r="AD26" s="360">
        <f t="shared" si="4"/>
        <v>0</v>
      </c>
      <c r="AE26" s="360">
        <f>AE25</f>
        <v>0.893</v>
      </c>
      <c r="AF26" s="146">
        <v>0.48989330411099763</v>
      </c>
      <c r="AG26" s="52">
        <v>1</v>
      </c>
      <c r="AH26" s="52">
        <v>1.9595732164439905</v>
      </c>
      <c r="AI26" s="52">
        <f t="shared" si="0"/>
        <v>2</v>
      </c>
      <c r="AJ26" s="52">
        <v>0.02857142857142857</v>
      </c>
      <c r="AK26" s="52" t="e">
        <v>#DIV/0!</v>
      </c>
      <c r="AL26" s="52">
        <f t="shared" si="5"/>
        <v>0.7998720204767237</v>
      </c>
      <c r="AM26" s="52">
        <f t="shared" si="1"/>
        <v>0.12675428</v>
      </c>
      <c r="AN26" s="52">
        <f t="shared" si="6"/>
        <v>0.5388826345220974</v>
      </c>
      <c r="AO26" s="52">
        <f t="shared" si="2"/>
        <v>0.9875216720090911</v>
      </c>
      <c r="AP26" s="52">
        <v>3.174791667</v>
      </c>
      <c r="AQ26" s="275">
        <f t="shared" si="3"/>
        <v>2.5920820486929985</v>
      </c>
    </row>
    <row r="27" spans="2:43" ht="13.5" thickBot="1">
      <c r="B27" s="81"/>
      <c r="G27" s="234"/>
      <c r="H27" s="232">
        <v>331</v>
      </c>
      <c r="I27" s="232" t="s">
        <v>13</v>
      </c>
      <c r="J27" s="232" t="s">
        <v>256</v>
      </c>
      <c r="K27" s="232"/>
      <c r="L27" s="232">
        <v>100</v>
      </c>
      <c r="M27" s="232">
        <v>1</v>
      </c>
      <c r="N27" s="232"/>
      <c r="O27" s="232">
        <v>3.204055556</v>
      </c>
      <c r="P27" s="429"/>
      <c r="Q27" s="429">
        <v>0</v>
      </c>
      <c r="R27" s="429">
        <v>14857.194928476105</v>
      </c>
      <c r="S27" s="429">
        <v>0</v>
      </c>
      <c r="T27" s="429">
        <v>0.36</v>
      </c>
      <c r="U27" s="429">
        <v>0.3224217649408877</v>
      </c>
      <c r="V27" s="429">
        <v>0.01</v>
      </c>
      <c r="Y27" s="12"/>
      <c r="AA27" s="90" t="s">
        <v>272</v>
      </c>
      <c r="AB27" s="360">
        <v>150</v>
      </c>
      <c r="AC27" s="360">
        <v>5</v>
      </c>
      <c r="AD27" s="360">
        <f t="shared" si="4"/>
        <v>0</v>
      </c>
      <c r="AE27" s="360">
        <f>AE26</f>
        <v>0.893</v>
      </c>
      <c r="AF27" s="146">
        <v>0.4600165026043741</v>
      </c>
      <c r="AG27" s="52">
        <v>2</v>
      </c>
      <c r="AH27" s="52">
        <v>3.680132020834993</v>
      </c>
      <c r="AI27" s="52">
        <f t="shared" si="0"/>
        <v>4</v>
      </c>
      <c r="AJ27" s="52">
        <v>0.03333333333333333</v>
      </c>
      <c r="AK27" s="52">
        <v>0</v>
      </c>
      <c r="AL27" s="52">
        <f t="shared" si="5"/>
        <v>5.599104143337066</v>
      </c>
      <c r="AM27" s="52">
        <f t="shared" si="1"/>
        <v>0.10382204</v>
      </c>
      <c r="AN27" s="52">
        <f t="shared" si="6"/>
        <v>0.5060181528648116</v>
      </c>
      <c r="AO27" s="52">
        <f t="shared" si="2"/>
        <v>5.522018913375465</v>
      </c>
      <c r="AP27" s="52">
        <v>3.174791667</v>
      </c>
      <c r="AQ27" s="275">
        <f t="shared" si="3"/>
        <v>14.494391873732965</v>
      </c>
    </row>
    <row r="28" spans="1:43" ht="13.5" thickBot="1">
      <c r="A28" s="179" t="s">
        <v>160</v>
      </c>
      <c r="B28" s="188"/>
      <c r="C28" s="180" t="s">
        <v>161</v>
      </c>
      <c r="D28" s="188" t="s">
        <v>95</v>
      </c>
      <c r="E28" s="180" t="s">
        <v>92</v>
      </c>
      <c r="F28" s="193" t="s">
        <v>162</v>
      </c>
      <c r="G28" s="234"/>
      <c r="H28" s="232">
        <v>364</v>
      </c>
      <c r="I28" s="232" t="s">
        <v>13</v>
      </c>
      <c r="J28" s="232" t="s">
        <v>256</v>
      </c>
      <c r="K28" s="232"/>
      <c r="L28" s="232">
        <v>100</v>
      </c>
      <c r="M28" s="232">
        <v>1</v>
      </c>
      <c r="N28" s="232"/>
      <c r="O28" s="232">
        <v>3.204055556</v>
      </c>
      <c r="P28" s="429"/>
      <c r="Q28" s="429">
        <v>0</v>
      </c>
      <c r="R28" s="429">
        <v>14857.194928476105</v>
      </c>
      <c r="S28" s="429">
        <v>0</v>
      </c>
      <c r="T28" s="429">
        <v>0.36</v>
      </c>
      <c r="U28" s="429">
        <v>0.3224217649408877</v>
      </c>
      <c r="V28" s="429">
        <v>0.01</v>
      </c>
      <c r="Y28" s="12"/>
      <c r="AA28" s="90" t="s">
        <v>273</v>
      </c>
      <c r="AB28" s="360">
        <v>150</v>
      </c>
      <c r="AC28" s="360">
        <v>5</v>
      </c>
      <c r="AD28" s="360">
        <f t="shared" si="4"/>
        <v>0</v>
      </c>
      <c r="AE28" s="360">
        <f>AE27</f>
        <v>0.893</v>
      </c>
      <c r="AF28" s="146">
        <v>0.3852447163721266</v>
      </c>
      <c r="AG28" s="52">
        <v>1</v>
      </c>
      <c r="AH28" s="52">
        <v>2.3114682982327595</v>
      </c>
      <c r="AI28" s="52">
        <f t="shared" si="0"/>
        <v>3</v>
      </c>
      <c r="AJ28" s="52">
        <v>0.03333333333333333</v>
      </c>
      <c r="AK28" s="52" t="e">
        <v>#DIV/0!</v>
      </c>
      <c r="AL28" s="52">
        <f t="shared" si="5"/>
        <v>5.599104143337066</v>
      </c>
      <c r="AM28" s="52">
        <f t="shared" si="1"/>
        <v>0.10382204</v>
      </c>
      <c r="AN28" s="52">
        <f t="shared" si="6"/>
        <v>0.42376918800933927</v>
      </c>
      <c r="AO28" s="52">
        <f t="shared" si="2"/>
        <v>5.501682620474634</v>
      </c>
      <c r="AP28" s="52">
        <v>3.174791667</v>
      </c>
      <c r="AQ28" s="275">
        <f t="shared" si="3"/>
        <v>14.441012447985312</v>
      </c>
    </row>
    <row r="29" spans="1:43" ht="12.75">
      <c r="A29" s="177"/>
      <c r="B29" s="178"/>
      <c r="C29" s="191"/>
      <c r="D29" s="178"/>
      <c r="E29" s="191"/>
      <c r="F29" s="192"/>
      <c r="G29" s="234"/>
      <c r="H29" s="232">
        <v>85</v>
      </c>
      <c r="I29" s="232" t="s">
        <v>14</v>
      </c>
      <c r="J29" s="232" t="str">
        <f>+'Input Data'!I17</f>
        <v>CVD_Met</v>
      </c>
      <c r="K29" s="232"/>
      <c r="L29" s="232">
        <v>60</v>
      </c>
      <c r="M29" s="414">
        <v>2</v>
      </c>
      <c r="N29" s="423"/>
      <c r="O29" s="232">
        <v>3.204055556</v>
      </c>
      <c r="P29" s="426"/>
      <c r="Q29" s="74">
        <f>+WS*LY^(($H187-1)/$B$24)*P29</f>
        <v>0</v>
      </c>
      <c r="R29" s="74">
        <f>+WS*LY^(($H187-1)/$B$24)*M29</f>
        <v>49159.763102856574</v>
      </c>
      <c r="S29" s="74">
        <f>+WS*LY^(($H187-1)/$B$24)*N29</f>
        <v>0</v>
      </c>
      <c r="T29" s="70">
        <f>+'Input Data'!$J$17</f>
        <v>0.52</v>
      </c>
      <c r="U29" s="74">
        <f>+WS*(LY^((+H187-1)/$B$24))*(1/L29)/(1-T29)/720</f>
        <v>1.185372374200824</v>
      </c>
      <c r="V29" s="74">
        <f>1/L29</f>
        <v>0.016666666666666666</v>
      </c>
      <c r="Y29" s="106" t="s">
        <v>260</v>
      </c>
      <c r="AA29" s="90" t="s">
        <v>274</v>
      </c>
      <c r="AB29" s="360">
        <v>150</v>
      </c>
      <c r="AC29" s="360">
        <v>5</v>
      </c>
      <c r="AD29" s="360">
        <f t="shared" si="4"/>
        <v>0</v>
      </c>
      <c r="AE29" s="360">
        <v>0.8</v>
      </c>
      <c r="AF29" s="146">
        <v>0.33879092142841016</v>
      </c>
      <c r="AG29" s="52">
        <v>28</v>
      </c>
      <c r="AH29" s="52">
        <v>8.24086025096133</v>
      </c>
      <c r="AI29" s="52">
        <f t="shared" si="0"/>
        <v>9</v>
      </c>
      <c r="AJ29" s="52">
        <v>0.005</v>
      </c>
      <c r="AK29" s="52">
        <v>3.120719817294132E-36</v>
      </c>
      <c r="AL29" s="52">
        <f t="shared" si="5"/>
        <v>0.9375</v>
      </c>
      <c r="AM29" s="52">
        <f t="shared" si="1"/>
        <v>0.14266666666666666</v>
      </c>
      <c r="AN29" s="52">
        <f t="shared" si="6"/>
        <v>0.37267001357125124</v>
      </c>
      <c r="AO29" s="52">
        <f t="shared" si="2"/>
        <v>0.7578525352637131</v>
      </c>
      <c r="AP29" s="52">
        <v>2.9420987649999986</v>
      </c>
      <c r="AQ29" s="275">
        <f t="shared" si="3"/>
        <v>1.9892383204279327</v>
      </c>
    </row>
    <row r="30" spans="1:43" ht="12.75">
      <c r="A30" s="177"/>
      <c r="B30" s="178" t="s">
        <v>91</v>
      </c>
      <c r="C30" s="191">
        <f>+C26/WS/LY</f>
        <v>0.0002025869776482014</v>
      </c>
      <c r="D30" s="178">
        <f>+D26/WS/LY</f>
        <v>0</v>
      </c>
      <c r="E30" s="191">
        <f>+E26/WS/LY</f>
        <v>0</v>
      </c>
      <c r="F30" s="192">
        <f>+'Input Data'!B13</f>
        <v>200</v>
      </c>
      <c r="G30" s="234"/>
      <c r="H30" s="232">
        <v>260</v>
      </c>
      <c r="I30" s="232" t="s">
        <v>14</v>
      </c>
      <c r="J30" s="232" t="s">
        <v>258</v>
      </c>
      <c r="K30" s="232"/>
      <c r="L30" s="232">
        <v>60</v>
      </c>
      <c r="M30" s="232">
        <v>2</v>
      </c>
      <c r="N30" s="232"/>
      <c r="O30" s="232">
        <v>3.204055556</v>
      </c>
      <c r="P30" s="429"/>
      <c r="Q30" s="429">
        <v>0</v>
      </c>
      <c r="R30" s="429">
        <v>29724.99795361581</v>
      </c>
      <c r="S30" s="429">
        <v>0</v>
      </c>
      <c r="T30" s="429">
        <v>0.52</v>
      </c>
      <c r="U30" s="429">
        <v>0.7167486003476035</v>
      </c>
      <c r="V30" s="429">
        <v>0.016666666666666666</v>
      </c>
      <c r="Y30" s="12"/>
      <c r="AA30" s="90" t="s">
        <v>275</v>
      </c>
      <c r="AB30" s="360">
        <v>150</v>
      </c>
      <c r="AC30" s="360">
        <v>5</v>
      </c>
      <c r="AD30" s="360">
        <f t="shared" si="4"/>
        <v>0</v>
      </c>
      <c r="AE30" s="360">
        <v>0.895</v>
      </c>
      <c r="AF30" s="146">
        <v>0.40650694096297463</v>
      </c>
      <c r="AG30" s="52">
        <v>14</v>
      </c>
      <c r="AH30" s="52">
        <v>4.839368344797317</v>
      </c>
      <c r="AI30" s="52">
        <f t="shared" si="0"/>
        <v>5</v>
      </c>
      <c r="AJ30" s="52">
        <v>0.006666666666666667</v>
      </c>
      <c r="AK30" s="52">
        <v>0</v>
      </c>
      <c r="AL30" s="52">
        <f t="shared" si="5"/>
        <v>1.1173184357541899</v>
      </c>
      <c r="AM30" s="52">
        <f t="shared" si="1"/>
        <v>0.11879500000000001</v>
      </c>
      <c r="AN30" s="52">
        <f t="shared" si="6"/>
        <v>0.44715763505927214</v>
      </c>
      <c r="AO30" s="52">
        <f t="shared" si="2"/>
        <v>1.045189527802804</v>
      </c>
      <c r="AP30" s="52">
        <v>2.942098765</v>
      </c>
      <c r="AQ30" s="275">
        <f t="shared" si="3"/>
        <v>2.7434506900367235</v>
      </c>
    </row>
    <row r="31" spans="1:43" ht="12.75">
      <c r="A31" s="177"/>
      <c r="B31" s="178"/>
      <c r="C31" s="191"/>
      <c r="D31" s="178"/>
      <c r="E31" s="191"/>
      <c r="F31" s="192"/>
      <c r="G31" s="234"/>
      <c r="H31" s="232">
        <v>293</v>
      </c>
      <c r="I31" s="232" t="s">
        <v>14</v>
      </c>
      <c r="J31" s="232" t="s">
        <v>258</v>
      </c>
      <c r="K31" s="232"/>
      <c r="L31" s="232">
        <v>60</v>
      </c>
      <c r="M31" s="232">
        <v>2</v>
      </c>
      <c r="N31" s="232"/>
      <c r="O31" s="232">
        <v>3.204055556</v>
      </c>
      <c r="P31" s="429"/>
      <c r="Q31" s="429">
        <v>0</v>
      </c>
      <c r="R31" s="429">
        <v>29724.99795361581</v>
      </c>
      <c r="S31" s="429">
        <v>0</v>
      </c>
      <c r="T31" s="429">
        <v>0.52</v>
      </c>
      <c r="U31" s="429">
        <v>0.7167486003476035</v>
      </c>
      <c r="V31" s="429">
        <v>0.016666666666666666</v>
      </c>
      <c r="Y31" s="12"/>
      <c r="AA31" s="90" t="s">
        <v>276</v>
      </c>
      <c r="AB31" s="360">
        <v>25</v>
      </c>
      <c r="AC31" s="360">
        <v>5</v>
      </c>
      <c r="AD31" s="360">
        <f t="shared" si="4"/>
        <v>0</v>
      </c>
      <c r="AE31" s="360">
        <v>0.95</v>
      </c>
      <c r="AF31" s="146">
        <v>0.29814374101949814</v>
      </c>
      <c r="AG31" s="52">
        <v>57</v>
      </c>
      <c r="AH31" s="52">
        <v>22.857686811494858</v>
      </c>
      <c r="AI31" s="52">
        <f t="shared" si="0"/>
        <v>23</v>
      </c>
      <c r="AJ31" s="52">
        <v>0.005</v>
      </c>
      <c r="AK31" s="52">
        <v>6.891755451106669E-36</v>
      </c>
      <c r="AL31" s="52">
        <f t="shared" si="5"/>
        <v>0.13157894736842105</v>
      </c>
      <c r="AM31" s="52">
        <f t="shared" si="1"/>
        <v>0.17600000000000007</v>
      </c>
      <c r="AN31" s="52">
        <f t="shared" si="6"/>
        <v>0.32795811512144796</v>
      </c>
      <c r="AO31" s="52">
        <f t="shared" si="2"/>
        <v>0.12500938581167595</v>
      </c>
      <c r="AP31" s="52">
        <v>0.9036892359999988</v>
      </c>
      <c r="AQ31" s="275">
        <f t="shared" si="3"/>
        <v>0.3281290872547042</v>
      </c>
    </row>
    <row r="32" spans="1:43" ht="13.5" thickBot="1">
      <c r="A32" s="181"/>
      <c r="B32" s="195" t="s">
        <v>91</v>
      </c>
      <c r="C32" s="194">
        <f>+C30</f>
        <v>0.0002025869776482014</v>
      </c>
      <c r="D32" s="182">
        <f>+D30+E30+F30</f>
        <v>200</v>
      </c>
      <c r="E32" s="194"/>
      <c r="F32" s="195"/>
      <c r="G32" s="234"/>
      <c r="H32" s="232">
        <v>326</v>
      </c>
      <c r="I32" s="232" t="s">
        <v>14</v>
      </c>
      <c r="J32" s="232" t="s">
        <v>258</v>
      </c>
      <c r="K32" s="232"/>
      <c r="L32" s="232">
        <v>60</v>
      </c>
      <c r="M32" s="232">
        <v>2</v>
      </c>
      <c r="N32" s="232"/>
      <c r="O32" s="232">
        <v>3.204055556</v>
      </c>
      <c r="P32" s="429"/>
      <c r="Q32" s="429">
        <v>0</v>
      </c>
      <c r="R32" s="429">
        <v>29724.99795361581</v>
      </c>
      <c r="S32" s="429">
        <v>0</v>
      </c>
      <c r="T32" s="429">
        <v>0.52</v>
      </c>
      <c r="U32" s="429">
        <v>0.7167486003476035</v>
      </c>
      <c r="V32" s="429">
        <v>0.016666666666666666</v>
      </c>
      <c r="Y32" s="12"/>
      <c r="AA32" s="90" t="s">
        <v>277</v>
      </c>
      <c r="AB32" s="360">
        <v>25</v>
      </c>
      <c r="AC32" s="360">
        <v>5</v>
      </c>
      <c r="AD32" s="360">
        <f t="shared" si="4"/>
        <v>0</v>
      </c>
      <c r="AE32" s="360">
        <f>AE31</f>
        <v>0.95</v>
      </c>
      <c r="AF32" s="146">
        <v>0.22412404481353562</v>
      </c>
      <c r="AG32" s="52">
        <v>3</v>
      </c>
      <c r="AH32" s="52">
        <v>1.280708827505918</v>
      </c>
      <c r="AI32" s="52">
        <f t="shared" si="0"/>
        <v>2</v>
      </c>
      <c r="AJ32" s="52">
        <v>0.005</v>
      </c>
      <c r="AK32" s="52">
        <v>0</v>
      </c>
      <c r="AL32" s="52">
        <f t="shared" si="5"/>
        <v>0.13157894736842105</v>
      </c>
      <c r="AM32" s="52">
        <f t="shared" si="1"/>
        <v>0.17600000000000007</v>
      </c>
      <c r="AN32" s="52">
        <f t="shared" si="6"/>
        <v>0.24653644929488922</v>
      </c>
      <c r="AO32" s="52">
        <f t="shared" si="2"/>
        <v>0.1323933811295799</v>
      </c>
      <c r="AP32" s="52">
        <v>0.6958024689999999</v>
      </c>
      <c r="AQ32" s="275">
        <f t="shared" si="3"/>
        <v>0.34751086109692503</v>
      </c>
    </row>
    <row r="33" spans="7:43" ht="12.75">
      <c r="G33" s="234"/>
      <c r="H33" s="232">
        <v>359</v>
      </c>
      <c r="I33" s="232" t="s">
        <v>14</v>
      </c>
      <c r="J33" s="232" t="s">
        <v>258</v>
      </c>
      <c r="K33" s="232"/>
      <c r="L33" s="232">
        <v>60</v>
      </c>
      <c r="M33" s="232">
        <v>2</v>
      </c>
      <c r="N33" s="232"/>
      <c r="O33" s="232">
        <v>3.204055556</v>
      </c>
      <c r="P33" s="429"/>
      <c r="Q33" s="429">
        <v>0</v>
      </c>
      <c r="R33" s="429">
        <v>29724.99795361581</v>
      </c>
      <c r="S33" s="429">
        <v>0</v>
      </c>
      <c r="T33" s="429">
        <v>0.52</v>
      </c>
      <c r="U33" s="429">
        <v>0.7167486003476035</v>
      </c>
      <c r="V33" s="429">
        <v>0.016666666666666666</v>
      </c>
      <c r="Y33" s="12"/>
      <c r="AA33" s="90" t="s">
        <v>278</v>
      </c>
      <c r="AB33" s="360">
        <v>25</v>
      </c>
      <c r="AC33" s="360">
        <v>45</v>
      </c>
      <c r="AD33" s="360">
        <v>1</v>
      </c>
      <c r="AE33" s="360">
        <v>0.9</v>
      </c>
      <c r="AF33" s="146">
        <v>0.7132412882648891</v>
      </c>
      <c r="AG33" s="52">
        <v>3</v>
      </c>
      <c r="AH33" s="52">
        <v>4.457758051655556</v>
      </c>
      <c r="AI33" s="52">
        <f t="shared" si="0"/>
        <v>5</v>
      </c>
      <c r="AJ33" s="52">
        <v>0.04</v>
      </c>
      <c r="AK33" s="52">
        <v>0</v>
      </c>
      <c r="AL33" s="52">
        <f t="shared" si="5"/>
        <v>1.1111111111111112</v>
      </c>
      <c r="AM33" s="52">
        <f t="shared" si="1"/>
        <v>0.118</v>
      </c>
      <c r="AN33" s="52">
        <f t="shared" si="6"/>
        <v>0.7845654170913781</v>
      </c>
      <c r="AO33" s="52">
        <f t="shared" si="2"/>
        <v>5.221458471719229</v>
      </c>
      <c r="AP33" s="52">
        <v>11.087361109999998</v>
      </c>
      <c r="AQ33" s="275">
        <f t="shared" si="3"/>
        <v>13.705470124016472</v>
      </c>
    </row>
    <row r="34" spans="7:43" ht="12.75">
      <c r="G34" s="234"/>
      <c r="H34" s="232">
        <v>126</v>
      </c>
      <c r="I34" s="232" t="s">
        <v>14</v>
      </c>
      <c r="J34" s="232" t="s">
        <v>257</v>
      </c>
      <c r="K34" s="232"/>
      <c r="L34" s="232">
        <v>60</v>
      </c>
      <c r="M34" s="232">
        <v>2</v>
      </c>
      <c r="N34" s="232"/>
      <c r="O34" s="232">
        <v>3.204055556</v>
      </c>
      <c r="P34" s="429"/>
      <c r="Q34" s="429">
        <v>0</v>
      </c>
      <c r="R34" s="429">
        <v>49084.023844870855</v>
      </c>
      <c r="S34" s="429">
        <v>0</v>
      </c>
      <c r="T34" s="429">
        <v>0.52</v>
      </c>
      <c r="U34" s="429">
        <v>1.1835460996544862</v>
      </c>
      <c r="V34" s="429">
        <v>0.016666666666666666</v>
      </c>
      <c r="Y34" s="12"/>
      <c r="AA34" s="90" t="s">
        <v>279</v>
      </c>
      <c r="AB34" s="360">
        <v>25</v>
      </c>
      <c r="AC34" s="360">
        <v>45</v>
      </c>
      <c r="AD34" s="360">
        <v>1</v>
      </c>
      <c r="AE34" s="360">
        <f>AE33</f>
        <v>0.9</v>
      </c>
      <c r="AF34" s="146">
        <v>0.7437948828290444</v>
      </c>
      <c r="AG34" s="52">
        <v>11</v>
      </c>
      <c r="AH34" s="52">
        <v>11.156923242435665</v>
      </c>
      <c r="AI34" s="52">
        <f t="shared" si="0"/>
        <v>12</v>
      </c>
      <c r="AJ34" s="52">
        <v>0.03333333333333333</v>
      </c>
      <c r="AK34" s="52">
        <v>0</v>
      </c>
      <c r="AL34" s="52">
        <f t="shared" si="5"/>
        <v>0.9259259259259259</v>
      </c>
      <c r="AM34" s="52">
        <f t="shared" si="1"/>
        <v>0.1216</v>
      </c>
      <c r="AN34" s="52">
        <f t="shared" si="6"/>
        <v>0.8181743711119489</v>
      </c>
      <c r="AO34" s="52">
        <f t="shared" si="2"/>
        <v>6.025406081955254</v>
      </c>
      <c r="AP34" s="52">
        <v>6.055173611</v>
      </c>
      <c r="AQ34" s="275">
        <f t="shared" si="3"/>
        <v>15.815700438600649</v>
      </c>
    </row>
    <row r="35" spans="1:43" ht="15">
      <c r="A35" s="229" t="s">
        <v>234</v>
      </c>
      <c r="B35" s="46"/>
      <c r="G35" s="234"/>
      <c r="H35" s="232">
        <v>86</v>
      </c>
      <c r="I35" s="232" t="s">
        <v>15</v>
      </c>
      <c r="J35" s="232" t="str">
        <f>+'Input Data'!I19</f>
        <v>CVD_MetW</v>
      </c>
      <c r="K35" s="232"/>
      <c r="L35" s="232">
        <v>70</v>
      </c>
      <c r="M35" s="414">
        <v>2</v>
      </c>
      <c r="N35" s="423"/>
      <c r="O35" s="232">
        <v>3.204055556</v>
      </c>
      <c r="P35" s="426"/>
      <c r="Q35" s="74">
        <f>+WS*LY^(($H193-1)/$B$24)*P35</f>
        <v>0</v>
      </c>
      <c r="R35" s="74">
        <f>+WS*LY^(($H193-1)/$B$24)*M35</f>
        <v>49088.69307110253</v>
      </c>
      <c r="S35" s="74">
        <f>+WS*LY^(($H193-1)/$B$24)*N35</f>
        <v>0</v>
      </c>
      <c r="T35" s="70">
        <f>+'Input Data'!$J$19</f>
        <v>0.52</v>
      </c>
      <c r="U35" s="74">
        <f>+WS*(LY^((+H193-1)/$B$24))*(1/L35)/(1-T35)/720</f>
        <v>1.0145645889364774</v>
      </c>
      <c r="V35" s="74">
        <f>1/L35</f>
        <v>0.014285714285714285</v>
      </c>
      <c r="Y35" s="106" t="s">
        <v>259</v>
      </c>
      <c r="AA35" s="90" t="s">
        <v>280</v>
      </c>
      <c r="AB35" s="360">
        <v>25</v>
      </c>
      <c r="AC35" s="360">
        <v>45</v>
      </c>
      <c r="AD35" s="360">
        <v>1</v>
      </c>
      <c r="AE35" s="360">
        <f>AE34</f>
        <v>0.9</v>
      </c>
      <c r="AF35" s="146">
        <v>0.7718872893543064</v>
      </c>
      <c r="AG35" s="52">
        <v>15</v>
      </c>
      <c r="AH35" s="52">
        <v>10.613450228621712</v>
      </c>
      <c r="AI35" s="52">
        <f t="shared" si="0"/>
        <v>11</v>
      </c>
      <c r="AJ35" s="52">
        <v>0.025</v>
      </c>
      <c r="AK35" s="52">
        <v>1.2896852306164525E-35</v>
      </c>
      <c r="AL35" s="52">
        <f t="shared" si="5"/>
        <v>0.6944444444444444</v>
      </c>
      <c r="AM35" s="52">
        <f t="shared" si="1"/>
        <v>0.1288</v>
      </c>
      <c r="AN35" s="52">
        <f t="shared" si="6"/>
        <v>0.8359436446771532</v>
      </c>
      <c r="AO35" s="52">
        <f t="shared" si="2"/>
        <v>5.7399252209014</v>
      </c>
      <c r="AP35" s="52">
        <v>6.055173611</v>
      </c>
      <c r="AQ35" s="275">
        <f t="shared" si="3"/>
        <v>15.06636010900806</v>
      </c>
    </row>
    <row r="36" spans="1:43" ht="12.75">
      <c r="A36" s="230" t="s">
        <v>235</v>
      </c>
      <c r="B36" s="231" t="s">
        <v>236</v>
      </c>
      <c r="G36" s="234"/>
      <c r="H36" s="232">
        <v>261</v>
      </c>
      <c r="I36" s="232" t="s">
        <v>15</v>
      </c>
      <c r="J36" s="232" t="s">
        <v>260</v>
      </c>
      <c r="K36" s="232"/>
      <c r="L36" s="232">
        <v>70</v>
      </c>
      <c r="M36" s="232">
        <v>2</v>
      </c>
      <c r="N36" s="232"/>
      <c r="O36" s="232">
        <v>3.204055556</v>
      </c>
      <c r="P36" s="429"/>
      <c r="Q36" s="429">
        <v>0</v>
      </c>
      <c r="R36" s="429">
        <v>29722.87603135741</v>
      </c>
      <c r="S36" s="429">
        <v>0</v>
      </c>
      <c r="T36" s="429">
        <v>0.52</v>
      </c>
      <c r="U36" s="429">
        <v>0.6143120872883062</v>
      </c>
      <c r="V36" s="429">
        <v>0.014285714285714285</v>
      </c>
      <c r="Y36" s="12"/>
      <c r="AA36" s="90" t="s">
        <v>45</v>
      </c>
      <c r="AB36" s="360">
        <v>25</v>
      </c>
      <c r="AC36" s="360">
        <v>5</v>
      </c>
      <c r="AD36" s="360">
        <v>0</v>
      </c>
      <c r="AE36" s="360">
        <v>0.95</v>
      </c>
      <c r="AF36" s="146">
        <v>0.3409434185837854</v>
      </c>
      <c r="AG36" s="52">
        <v>42</v>
      </c>
      <c r="AH36" s="52">
        <v>14.611860796447946</v>
      </c>
      <c r="AI36" s="52">
        <f t="shared" si="0"/>
        <v>15</v>
      </c>
      <c r="AJ36" s="52">
        <v>0.005</v>
      </c>
      <c r="AK36" s="52">
        <v>6.935990081729946E-36</v>
      </c>
      <c r="AL36" s="52">
        <f t="shared" si="5"/>
        <v>0.13157894736842105</v>
      </c>
      <c r="AM36" s="52">
        <f t="shared" si="1"/>
        <v>0.17600000000000007</v>
      </c>
      <c r="AN36" s="52">
        <f t="shared" si="6"/>
        <v>0.37503776044216397</v>
      </c>
      <c r="AO36" s="52">
        <f t="shared" si="2"/>
        <v>0.1251124149360749</v>
      </c>
      <c r="AP36" s="52">
        <v>0.9036892359999991</v>
      </c>
      <c r="AQ36" s="275">
        <f t="shared" si="3"/>
        <v>0.32839952176912224</v>
      </c>
    </row>
    <row r="37" spans="1:43" ht="12.75">
      <c r="A37" s="5" t="str">
        <f>+'Input Data'!I9</f>
        <v>CMP_Ins</v>
      </c>
      <c r="B37" s="52" t="str">
        <f>+'Input Data'!A17</f>
        <v>248_Mask</v>
      </c>
      <c r="G37" s="234"/>
      <c r="H37" s="232">
        <v>294</v>
      </c>
      <c r="I37" s="232" t="s">
        <v>15</v>
      </c>
      <c r="J37" s="232" t="s">
        <v>260</v>
      </c>
      <c r="K37" s="232"/>
      <c r="L37" s="232">
        <v>70</v>
      </c>
      <c r="M37" s="414">
        <v>2</v>
      </c>
      <c r="N37" s="423"/>
      <c r="O37" s="232">
        <v>3.204055556</v>
      </c>
      <c r="P37" s="426"/>
      <c r="Q37" s="426">
        <v>0</v>
      </c>
      <c r="R37" s="426">
        <v>29722.87603135741</v>
      </c>
      <c r="S37" s="426">
        <v>0</v>
      </c>
      <c r="T37" s="429">
        <v>0.52</v>
      </c>
      <c r="U37" s="426">
        <v>0.6143120872883062</v>
      </c>
      <c r="V37" s="426">
        <v>0.014285714285714285</v>
      </c>
      <c r="Y37" s="12"/>
      <c r="AA37" s="90" t="s">
        <v>46</v>
      </c>
      <c r="AB37" s="360">
        <v>25</v>
      </c>
      <c r="AC37" s="360">
        <v>5</v>
      </c>
      <c r="AD37" s="360">
        <f t="shared" si="4"/>
        <v>0</v>
      </c>
      <c r="AE37" s="360">
        <f>AE36</f>
        <v>0.95</v>
      </c>
      <c r="AF37" s="146">
        <v>0.3246049635267762</v>
      </c>
      <c r="AG37" s="52">
        <v>27</v>
      </c>
      <c r="AH37" s="52">
        <v>11.129313035203756</v>
      </c>
      <c r="AI37" s="52">
        <f t="shared" si="0"/>
        <v>12</v>
      </c>
      <c r="AJ37" s="52">
        <v>0.005</v>
      </c>
      <c r="AK37" s="52">
        <v>7.812516300849665E-37</v>
      </c>
      <c r="AL37" s="52">
        <f t="shared" si="5"/>
        <v>0.13157894736842105</v>
      </c>
      <c r="AM37" s="52">
        <f t="shared" si="1"/>
        <v>0.17600000000000007</v>
      </c>
      <c r="AN37" s="52">
        <f t="shared" si="6"/>
        <v>0.3570654598794539</v>
      </c>
      <c r="AO37" s="52">
        <f t="shared" si="2"/>
        <v>0.1251871179256952</v>
      </c>
      <c r="AP37" s="52">
        <v>0.48333333299999964</v>
      </c>
      <c r="AQ37" s="275">
        <f t="shared" si="3"/>
        <v>0.32859560483632677</v>
      </c>
    </row>
    <row r="38" spans="1:43" ht="12.75">
      <c r="A38" s="5" t="str">
        <f>+'Input Data'!I10</f>
        <v>CMP_Ins(C) </v>
      </c>
      <c r="B38" s="52" t="str">
        <f>+'Input Data'!A18</f>
        <v>248C_Mask</v>
      </c>
      <c r="G38" s="234"/>
      <c r="H38" s="232">
        <v>327</v>
      </c>
      <c r="I38" s="232" t="s">
        <v>15</v>
      </c>
      <c r="J38" s="232" t="s">
        <v>260</v>
      </c>
      <c r="K38" s="232"/>
      <c r="L38" s="232">
        <v>70</v>
      </c>
      <c r="M38" s="232">
        <v>2</v>
      </c>
      <c r="N38" s="232"/>
      <c r="O38" s="232">
        <v>3.204055556</v>
      </c>
      <c r="P38" s="429"/>
      <c r="Q38" s="429">
        <v>0</v>
      </c>
      <c r="R38" s="429">
        <v>29722.87603135741</v>
      </c>
      <c r="S38" s="429">
        <v>0</v>
      </c>
      <c r="T38" s="429">
        <v>0.52</v>
      </c>
      <c r="U38" s="429">
        <v>0.6143120872883062</v>
      </c>
      <c r="V38" s="429">
        <v>0.014285714285714285</v>
      </c>
      <c r="Y38" s="12"/>
      <c r="AA38" s="90" t="s">
        <v>47</v>
      </c>
      <c r="AB38" s="360">
        <v>25</v>
      </c>
      <c r="AC38" s="360">
        <v>5</v>
      </c>
      <c r="AD38" s="360">
        <f t="shared" si="4"/>
        <v>0</v>
      </c>
      <c r="AE38" s="360">
        <f>AE37</f>
        <v>0.95</v>
      </c>
      <c r="AF38" s="146">
        <v>0.2767310068248975</v>
      </c>
      <c r="AG38" s="52">
        <v>28</v>
      </c>
      <c r="AH38" s="52">
        <v>11.0692402729959</v>
      </c>
      <c r="AI38" s="52">
        <f t="shared" si="0"/>
        <v>12</v>
      </c>
      <c r="AJ38" s="52">
        <v>0.005</v>
      </c>
      <c r="AK38" s="52">
        <v>3.120719817294132E-36</v>
      </c>
      <c r="AL38" s="52">
        <f t="shared" si="5"/>
        <v>0.13157894736842105</v>
      </c>
      <c r="AM38" s="52">
        <f t="shared" si="1"/>
        <v>0.17600000000000007</v>
      </c>
      <c r="AN38" s="52">
        <f t="shared" si="6"/>
        <v>0.3044041075073873</v>
      </c>
      <c r="AO38" s="52">
        <f t="shared" si="2"/>
        <v>0.12508935323178905</v>
      </c>
      <c r="AP38" s="52">
        <v>1.0892592589999994</v>
      </c>
      <c r="AQ38" s="275">
        <f t="shared" si="3"/>
        <v>0.32833898858652383</v>
      </c>
    </row>
    <row r="39" spans="1:43" ht="12.75">
      <c r="A39" s="5" t="str">
        <f>+'Input Data'!I11</f>
        <v>CMP_Ins(I)</v>
      </c>
      <c r="B39" s="52" t="str">
        <f>+'Input Data'!A19</f>
        <v>Iw_Mask</v>
      </c>
      <c r="G39" s="234"/>
      <c r="H39" s="232">
        <v>360</v>
      </c>
      <c r="I39" s="232" t="s">
        <v>15</v>
      </c>
      <c r="J39" s="232" t="s">
        <v>260</v>
      </c>
      <c r="K39" s="232"/>
      <c r="L39" s="232">
        <v>70</v>
      </c>
      <c r="M39" s="232">
        <v>2</v>
      </c>
      <c r="N39" s="232"/>
      <c r="O39" s="232">
        <v>3.204055556</v>
      </c>
      <c r="P39" s="429"/>
      <c r="Q39" s="429">
        <v>0</v>
      </c>
      <c r="R39" s="429">
        <v>29722.87603135741</v>
      </c>
      <c r="S39" s="429">
        <v>0</v>
      </c>
      <c r="T39" s="429">
        <v>0.52</v>
      </c>
      <c r="U39" s="429">
        <v>0.6143120872883062</v>
      </c>
      <c r="V39" s="429">
        <v>0.014285714285714285</v>
      </c>
      <c r="Y39" s="12"/>
      <c r="AA39" s="90" t="s">
        <v>282</v>
      </c>
      <c r="AB39" s="360">
        <v>25</v>
      </c>
      <c r="AC39" s="360">
        <v>5</v>
      </c>
      <c r="AD39" s="360">
        <f t="shared" si="4"/>
        <v>0</v>
      </c>
      <c r="AE39" s="360">
        <v>0.854</v>
      </c>
      <c r="AF39" s="146">
        <v>0.28865002543267226</v>
      </c>
      <c r="AG39" s="52">
        <v>1</v>
      </c>
      <c r="AH39" s="52">
        <v>1.131960884049695</v>
      </c>
      <c r="AI39" s="52">
        <f t="shared" si="0"/>
        <v>2</v>
      </c>
      <c r="AJ39" s="52">
        <v>0.016666666666666666</v>
      </c>
      <c r="AK39" s="52" t="e">
        <v>#DIV/0!</v>
      </c>
      <c r="AL39" s="52">
        <f t="shared" si="5"/>
        <v>0.48790007806401253</v>
      </c>
      <c r="AM39" s="52">
        <f t="shared" si="1"/>
        <v>0.15984832000000002</v>
      </c>
      <c r="AN39" s="52">
        <f t="shared" si="6"/>
        <v>0.3175150279759395</v>
      </c>
      <c r="AO39" s="52">
        <f t="shared" si="2"/>
        <v>0.4703372059428794</v>
      </c>
      <c r="AP39" s="52">
        <v>3.204055556</v>
      </c>
      <c r="AQ39" s="275">
        <f t="shared" si="3"/>
        <v>1.2345578460841475</v>
      </c>
    </row>
    <row r="40" spans="1:43" ht="12.75">
      <c r="A40" s="5" t="str">
        <f>+'Input Data'!I12</f>
        <v>CMP_Met</v>
      </c>
      <c r="B40" s="52" t="str">
        <f>+'Input Data'!A20</f>
        <v>I_Mask</v>
      </c>
      <c r="G40" s="234"/>
      <c r="H40" s="232">
        <v>127</v>
      </c>
      <c r="I40" s="232" t="s">
        <v>15</v>
      </c>
      <c r="J40" s="232" t="s">
        <v>259</v>
      </c>
      <c r="K40" s="232"/>
      <c r="L40" s="232">
        <v>70</v>
      </c>
      <c r="M40" s="414">
        <v>2</v>
      </c>
      <c r="N40" s="423"/>
      <c r="O40" s="232">
        <v>3.204055556</v>
      </c>
      <c r="P40" s="426"/>
      <c r="Q40" s="426">
        <v>0</v>
      </c>
      <c r="R40" s="426">
        <v>49421.56251480207</v>
      </c>
      <c r="S40" s="426">
        <v>0</v>
      </c>
      <c r="T40" s="429">
        <v>0.52</v>
      </c>
      <c r="U40" s="426">
        <v>1.0214443310764316</v>
      </c>
      <c r="V40" s="426">
        <v>0.014285714285714285</v>
      </c>
      <c r="Y40" s="12"/>
      <c r="AA40" s="90" t="s">
        <v>281</v>
      </c>
      <c r="AB40" s="360">
        <v>25</v>
      </c>
      <c r="AC40" s="360">
        <v>5</v>
      </c>
      <c r="AD40" s="360">
        <f t="shared" si="4"/>
        <v>0</v>
      </c>
      <c r="AE40" s="360">
        <f>AE39</f>
        <v>0.854</v>
      </c>
      <c r="AF40" s="146">
        <v>0.48862450297070753</v>
      </c>
      <c r="AG40" s="52">
        <v>5</v>
      </c>
      <c r="AH40" s="52">
        <v>5.748523564361265</v>
      </c>
      <c r="AI40" s="52">
        <f t="shared" si="0"/>
        <v>6</v>
      </c>
      <c r="AJ40" s="52">
        <v>0.025</v>
      </c>
      <c r="AK40" s="52">
        <v>0</v>
      </c>
      <c r="AL40" s="52">
        <f t="shared" si="5"/>
        <v>0.7318501170960188</v>
      </c>
      <c r="AM40" s="52">
        <f t="shared" si="1"/>
        <v>0.13989888</v>
      </c>
      <c r="AN40" s="52">
        <f t="shared" si="6"/>
        <v>0.5374869532677783</v>
      </c>
      <c r="AO40" s="52">
        <f t="shared" si="2"/>
        <v>0.6777052347268531</v>
      </c>
      <c r="AP40" s="52">
        <v>3.204055556</v>
      </c>
      <c r="AQ40" s="275">
        <f t="shared" si="3"/>
        <v>1.7788648320667728</v>
      </c>
    </row>
    <row r="41" spans="1:43" ht="12.75">
      <c r="A41" s="5" t="str">
        <f>+'Input Data'!I13</f>
        <v>CVD_Ins</v>
      </c>
      <c r="B41" s="52"/>
      <c r="G41" s="234"/>
      <c r="H41" s="232">
        <v>9</v>
      </c>
      <c r="I41" s="232" t="s">
        <v>16</v>
      </c>
      <c r="J41" s="232" t="str">
        <f>+'Input Data'!I21</f>
        <v>Dry_Etch</v>
      </c>
      <c r="K41" s="232"/>
      <c r="L41" s="232">
        <v>25</v>
      </c>
      <c r="M41" s="414">
        <v>1.5</v>
      </c>
      <c r="N41" s="423"/>
      <c r="O41" s="232">
        <v>4.683229167</v>
      </c>
      <c r="P41" s="426"/>
      <c r="Q41" s="74">
        <f>+WS*LY^(($H41-1)/$B$24)*P41</f>
        <v>0</v>
      </c>
      <c r="R41" s="74">
        <f>+WS*LY^(($H41-1)/$B$24)*M41</f>
        <v>37484.50240476866</v>
      </c>
      <c r="S41" s="74">
        <f>+WS*LY^(($H41-1)/$B$24)*N41</f>
        <v>0</v>
      </c>
      <c r="T41" s="70">
        <f>+'Input Data'!$J$21</f>
        <v>0.41000000000000003</v>
      </c>
      <c r="U41" s="74">
        <f>+WS*(LY^((+H41-1)/$B$24))*(1/L41)/(1-T41)/720</f>
        <v>2.35307610827173</v>
      </c>
      <c r="V41" s="74">
        <f>1/L41</f>
        <v>0.04</v>
      </c>
      <c r="Y41" s="106" t="s">
        <v>264</v>
      </c>
      <c r="AA41" s="90" t="s">
        <v>283</v>
      </c>
      <c r="AB41" s="360">
        <v>25</v>
      </c>
      <c r="AC41" s="360">
        <v>5</v>
      </c>
      <c r="AD41" s="360">
        <f t="shared" si="4"/>
        <v>0</v>
      </c>
      <c r="AE41" s="360">
        <f>AE40</f>
        <v>0.854</v>
      </c>
      <c r="AF41" s="146">
        <v>0.4592107087256269</v>
      </c>
      <c r="AG41" s="52">
        <v>2</v>
      </c>
      <c r="AH41" s="52">
        <v>2.416898466976984</v>
      </c>
      <c r="AI41" s="52">
        <f t="shared" si="0"/>
        <v>3</v>
      </c>
      <c r="AJ41" s="52">
        <v>0.02</v>
      </c>
      <c r="AK41" s="52">
        <v>0</v>
      </c>
      <c r="AL41" s="52">
        <f t="shared" si="5"/>
        <v>0.585480093676815</v>
      </c>
      <c r="AM41" s="52">
        <f t="shared" si="1"/>
        <v>0.14987360000000002</v>
      </c>
      <c r="AN41" s="52">
        <f t="shared" si="6"/>
        <v>0.5051317795981897</v>
      </c>
      <c r="AO41" s="52">
        <f t="shared" si="2"/>
        <v>0.6051547342141422</v>
      </c>
      <c r="AP41" s="52">
        <v>3.204055556</v>
      </c>
      <c r="AQ41" s="275">
        <f t="shared" si="3"/>
        <v>1.5884316949184079</v>
      </c>
    </row>
    <row r="42" spans="1:43" ht="12.75">
      <c r="A42" s="5" t="str">
        <f>+'Input Data'!I14</f>
        <v>CVD_Ins(C) </v>
      </c>
      <c r="B42" s="52"/>
      <c r="G42" s="234"/>
      <c r="H42" s="232">
        <v>81</v>
      </c>
      <c r="I42" s="232" t="s">
        <v>17</v>
      </c>
      <c r="J42" s="232" t="str">
        <f>+'Input Data'!I22</f>
        <v>Dry_Etch(A)</v>
      </c>
      <c r="K42" s="232"/>
      <c r="L42" s="232">
        <v>25</v>
      </c>
      <c r="M42" s="414">
        <v>1.5</v>
      </c>
      <c r="N42" s="423"/>
      <c r="O42" s="232">
        <v>4.683229167</v>
      </c>
      <c r="P42" s="426"/>
      <c r="Q42" s="74">
        <f>+WS*LY^(($H200-1)/$B$24)*P42</f>
        <v>0</v>
      </c>
      <c r="R42" s="74">
        <f aca="true" t="shared" si="10" ref="R42:S45">+WS*LY^(($H200-1)/$B$24)*M42</f>
        <v>36753.79789185221</v>
      </c>
      <c r="S42" s="74">
        <f t="shared" si="10"/>
        <v>0</v>
      </c>
      <c r="T42" s="70">
        <f>+'Input Data'!$J$22</f>
        <v>0.47</v>
      </c>
      <c r="U42" s="74">
        <f>+WS*(LY^((+H200-1)/$B$24))*(1/L42)/(1-T42)/720</f>
        <v>2.56839957315529</v>
      </c>
      <c r="V42" s="74">
        <f>1/L42</f>
        <v>0.04</v>
      </c>
      <c r="Y42" s="106" t="s">
        <v>261</v>
      </c>
      <c r="AA42" s="90" t="s">
        <v>52</v>
      </c>
      <c r="AB42" s="360">
        <v>25</v>
      </c>
      <c r="AC42" s="360">
        <v>5</v>
      </c>
      <c r="AD42" s="360">
        <f t="shared" si="4"/>
        <v>0</v>
      </c>
      <c r="AE42" s="360">
        <v>0.95</v>
      </c>
      <c r="AF42" s="146">
        <v>0.3798080356586287</v>
      </c>
      <c r="AG42" s="52">
        <v>6</v>
      </c>
      <c r="AH42" s="52">
        <v>15.581868129584766</v>
      </c>
      <c r="AI42" s="52">
        <f t="shared" si="0"/>
        <v>16</v>
      </c>
      <c r="AJ42" s="52">
        <v>0.04</v>
      </c>
      <c r="AK42" s="52">
        <v>0</v>
      </c>
      <c r="AL42" s="52">
        <f t="shared" si="5"/>
        <v>1.0526315789473684</v>
      </c>
      <c r="AM42" s="52">
        <f t="shared" si="1"/>
        <v>0.10950000000000001</v>
      </c>
      <c r="AN42" s="52">
        <f t="shared" si="6"/>
        <v>0.4177888392244916</v>
      </c>
      <c r="AO42" s="52">
        <f t="shared" si="2"/>
        <v>1.0012313180367514</v>
      </c>
      <c r="AP42" s="52">
        <v>1.001944444</v>
      </c>
      <c r="AQ42" s="275">
        <f t="shared" si="3"/>
        <v>2.6280676157640834</v>
      </c>
    </row>
    <row r="43" spans="1:43" ht="12.75">
      <c r="A43" s="5" t="str">
        <f>+'Input Data'!I15</f>
        <v>CVD_Ins(I)</v>
      </c>
      <c r="B43" s="52"/>
      <c r="G43" s="234"/>
      <c r="H43" s="232">
        <v>95</v>
      </c>
      <c r="I43" s="232" t="s">
        <v>18</v>
      </c>
      <c r="J43" s="232" t="str">
        <f>+'Input Data'!I23</f>
        <v>Dry_Etch(C) </v>
      </c>
      <c r="K43" s="232"/>
      <c r="L43" s="232">
        <v>60</v>
      </c>
      <c r="M43" s="414">
        <v>1.5</v>
      </c>
      <c r="N43" s="423"/>
      <c r="O43" s="232">
        <v>4.683229167</v>
      </c>
      <c r="P43" s="426"/>
      <c r="Q43" s="74">
        <f>+WS*LY^(($H201-1)/$B$24)*P43</f>
        <v>0</v>
      </c>
      <c r="R43" s="74">
        <f t="shared" si="10"/>
        <v>37412.90929609427</v>
      </c>
      <c r="S43" s="74">
        <f t="shared" si="10"/>
        <v>0</v>
      </c>
      <c r="T43" s="70">
        <f>+'Input Data'!$J$23</f>
        <v>0.47</v>
      </c>
      <c r="U43" s="74">
        <f>+WS*(LY^((+H201-1)/$B$24))*(1/L43)/(1-T43)/720</f>
        <v>1.089357945961282</v>
      </c>
      <c r="V43" s="74">
        <f>1/L43</f>
        <v>0.016666666666666666</v>
      </c>
      <c r="Y43" s="106" t="s">
        <v>262</v>
      </c>
      <c r="AA43" s="90" t="s">
        <v>284</v>
      </c>
      <c r="AB43" s="360">
        <v>25</v>
      </c>
      <c r="AC43" s="360">
        <v>5</v>
      </c>
      <c r="AD43" s="360">
        <f t="shared" si="4"/>
        <v>0</v>
      </c>
      <c r="AE43" s="360">
        <v>0.9</v>
      </c>
      <c r="AF43" s="146">
        <v>0.43130764220516055</v>
      </c>
      <c r="AG43" s="52">
        <v>2</v>
      </c>
      <c r="AH43" s="52">
        <v>3.833845708490316</v>
      </c>
      <c r="AI43" s="52">
        <f t="shared" si="0"/>
        <v>4</v>
      </c>
      <c r="AJ43" s="52">
        <v>0.025</v>
      </c>
      <c r="AK43" s="52">
        <v>0</v>
      </c>
      <c r="AL43" s="52">
        <f t="shared" si="5"/>
        <v>0.6944444444444444</v>
      </c>
      <c r="AM43" s="52">
        <f t="shared" si="1"/>
        <v>0.1288</v>
      </c>
      <c r="AN43" s="52">
        <f t="shared" si="6"/>
        <v>0.47443840642567664</v>
      </c>
      <c r="AO43" s="52">
        <f t="shared" si="2"/>
        <v>0.676903411388995</v>
      </c>
      <c r="AP43" s="52">
        <v>1.283395062</v>
      </c>
      <c r="AQ43" s="275">
        <f t="shared" si="3"/>
        <v>1.7767601776179682</v>
      </c>
    </row>
    <row r="44" spans="1:43" ht="12.75">
      <c r="A44" s="5" t="str">
        <f>+'Input Data'!I16</f>
        <v>CVD_Ins_Thin</v>
      </c>
      <c r="B44" s="52"/>
      <c r="G44" s="234"/>
      <c r="H44" s="232">
        <v>113</v>
      </c>
      <c r="I44" s="232" t="s">
        <v>19</v>
      </c>
      <c r="J44" s="232" t="str">
        <f>+'Input Data'!I23</f>
        <v>Dry_Etch(C) </v>
      </c>
      <c r="K44" s="232"/>
      <c r="L44" s="232">
        <v>30</v>
      </c>
      <c r="M44" s="414">
        <v>1.5</v>
      </c>
      <c r="N44" s="423"/>
      <c r="O44" s="232">
        <v>4.683229167</v>
      </c>
      <c r="P44" s="426"/>
      <c r="Q44" s="74">
        <f>+WS*LY^(($H202-1)/$B$24)*P44</f>
        <v>0</v>
      </c>
      <c r="R44" s="74">
        <f t="shared" si="10"/>
        <v>37378.12967396555</v>
      </c>
      <c r="S44" s="74">
        <f t="shared" si="10"/>
        <v>0</v>
      </c>
      <c r="T44" s="70">
        <f>+'Input Data'!$J$23</f>
        <v>0.47</v>
      </c>
      <c r="U44" s="74">
        <f>+WS*(LY^((+H202-1)/$B$24))*(1/L44)/(1-T44)/720</f>
        <v>2.1766905237576024</v>
      </c>
      <c r="V44" s="74">
        <f>1/L44</f>
        <v>0.03333333333333333</v>
      </c>
      <c r="Y44" s="106" t="s">
        <v>263</v>
      </c>
      <c r="AA44" s="90" t="s">
        <v>286</v>
      </c>
      <c r="AB44" s="360">
        <v>25</v>
      </c>
      <c r="AC44" s="360">
        <v>5</v>
      </c>
      <c r="AD44" s="360">
        <f t="shared" si="4"/>
        <v>0</v>
      </c>
      <c r="AE44" s="360">
        <f>AE43</f>
        <v>0.9</v>
      </c>
      <c r="AF44" s="146">
        <v>0.50878295510286</v>
      </c>
      <c r="AG44" s="52">
        <v>23</v>
      </c>
      <c r="AH44" s="52">
        <v>8.479715918380998</v>
      </c>
      <c r="AI44" s="52">
        <f t="shared" si="0"/>
        <v>9</v>
      </c>
      <c r="AJ44" s="52">
        <v>0.008000000000000005</v>
      </c>
      <c r="AK44" s="52">
        <v>2.8314453017624843E-35</v>
      </c>
      <c r="AL44" s="52">
        <f t="shared" si="5"/>
        <v>0.22222222222222235</v>
      </c>
      <c r="AM44" s="52">
        <f t="shared" si="1"/>
        <v>0.18999999999999995</v>
      </c>
      <c r="AN44" s="52">
        <f t="shared" si="6"/>
        <v>0.559661250613146</v>
      </c>
      <c r="AO44" s="52">
        <f t="shared" si="2"/>
        <v>0.20746502796685937</v>
      </c>
      <c r="AP44" s="52">
        <v>1.3932638890000002</v>
      </c>
      <c r="AQ44" s="275">
        <f t="shared" si="3"/>
        <v>0.5445615928918432</v>
      </c>
    </row>
    <row r="45" spans="1:43" ht="12.75">
      <c r="A45" s="5" t="str">
        <f>+'Input Data'!I17</f>
        <v>CVD_Met</v>
      </c>
      <c r="B45" s="52"/>
      <c r="G45" s="234"/>
      <c r="H45" s="232">
        <v>121</v>
      </c>
      <c r="I45" s="232" t="s">
        <v>20</v>
      </c>
      <c r="J45" s="232" t="str">
        <f>+'Input Data'!I23</f>
        <v>Dry_Etch(C) </v>
      </c>
      <c r="K45" s="232"/>
      <c r="L45" s="232">
        <v>40</v>
      </c>
      <c r="M45" s="414">
        <v>1.5</v>
      </c>
      <c r="N45" s="423"/>
      <c r="O45" s="232">
        <v>4.683229167</v>
      </c>
      <c r="P45" s="426"/>
      <c r="Q45" s="74">
        <f>+WS*LY^(($H203-1)/$B$24)*P45</f>
        <v>0</v>
      </c>
      <c r="R45" s="74">
        <f t="shared" si="10"/>
        <v>37011.06506027904</v>
      </c>
      <c r="S45" s="74">
        <f t="shared" si="10"/>
        <v>0</v>
      </c>
      <c r="T45" s="70">
        <f>+'Input Data'!$J$23</f>
        <v>0.47</v>
      </c>
      <c r="U45" s="74">
        <f>+WS*(LY^((+H203-1)/$B$24))*(1/L45)/(1-T45)/720</f>
        <v>1.616486070068092</v>
      </c>
      <c r="V45" s="74">
        <f>1/L45</f>
        <v>0.025</v>
      </c>
      <c r="Y45" s="106" t="s">
        <v>265</v>
      </c>
      <c r="AA45" s="90" t="s">
        <v>285</v>
      </c>
      <c r="AB45" s="360">
        <v>25</v>
      </c>
      <c r="AC45" s="360">
        <v>5</v>
      </c>
      <c r="AD45" s="360">
        <f>AD44</f>
        <v>0</v>
      </c>
      <c r="AE45" s="360">
        <f>AE44</f>
        <v>0.9</v>
      </c>
      <c r="AF45" s="146">
        <v>0.5103749943618209</v>
      </c>
      <c r="AG45" s="52">
        <v>24</v>
      </c>
      <c r="AH45" s="52">
        <v>9.451388784478164</v>
      </c>
      <c r="AI45" s="52">
        <f t="shared" si="0"/>
        <v>10</v>
      </c>
      <c r="AJ45" s="52">
        <v>0.008000000000000005</v>
      </c>
      <c r="AK45" s="52">
        <v>2.8260928531769224E-35</v>
      </c>
      <c r="AL45" s="52">
        <f t="shared" si="5"/>
        <v>0.22222222222222235</v>
      </c>
      <c r="AM45" s="52">
        <f t="shared" si="1"/>
        <v>0.18999999999999995</v>
      </c>
      <c r="AN45" s="52">
        <f t="shared" si="6"/>
        <v>0.5614124937980031</v>
      </c>
      <c r="AO45" s="52">
        <f t="shared" si="2"/>
        <v>0.20615866822842815</v>
      </c>
      <c r="AP45" s="52">
        <v>1.393263889</v>
      </c>
      <c r="AQ45" s="275">
        <f>CT_FACTOR*AO45</f>
        <v>0.5411326133331125</v>
      </c>
    </row>
    <row r="46" spans="1:43" ht="12.75">
      <c r="A46" s="5" t="str">
        <f>+'Input Data'!I18</f>
        <v>CVD_Met(C) </v>
      </c>
      <c r="B46" s="52"/>
      <c r="G46" s="234"/>
      <c r="H46" s="232">
        <v>270</v>
      </c>
      <c r="I46" s="232" t="s">
        <v>18</v>
      </c>
      <c r="J46" s="232" t="s">
        <v>262</v>
      </c>
      <c r="K46" s="232"/>
      <c r="L46" s="232">
        <v>60</v>
      </c>
      <c r="M46" s="232">
        <v>1.5</v>
      </c>
      <c r="N46" s="232"/>
      <c r="O46" s="232">
        <v>4.683229167</v>
      </c>
      <c r="P46" s="429"/>
      <c r="Q46" s="429">
        <v>0</v>
      </c>
      <c r="R46" s="429">
        <v>22277.83915953662</v>
      </c>
      <c r="S46" s="429">
        <v>0</v>
      </c>
      <c r="T46" s="429">
        <v>0.47</v>
      </c>
      <c r="U46" s="429">
        <v>0.648667573944113</v>
      </c>
      <c r="V46" s="429">
        <v>0.016666666666666666</v>
      </c>
      <c r="AA46" s="90" t="s">
        <v>45</v>
      </c>
      <c r="AB46" s="360"/>
      <c r="AC46" s="360"/>
      <c r="AD46" s="360"/>
      <c r="AE46" s="360"/>
      <c r="AF46" s="52"/>
      <c r="AG46" s="52"/>
      <c r="AH46" s="52"/>
      <c r="AI46" s="52"/>
      <c r="AJ46" s="52"/>
      <c r="AK46" s="52"/>
      <c r="AL46" s="52"/>
      <c r="AM46" s="52"/>
      <c r="AN46" s="52"/>
      <c r="AO46" s="52"/>
      <c r="AP46" s="52"/>
      <c r="AQ46" s="275"/>
    </row>
    <row r="47" spans="1:27" ht="12.75">
      <c r="A47" s="5" t="str">
        <f>+'Input Data'!I19</f>
        <v>CVD_MetW</v>
      </c>
      <c r="B47" s="52"/>
      <c r="G47" s="234"/>
      <c r="H47" s="232">
        <v>288</v>
      </c>
      <c r="I47" s="232" t="s">
        <v>19</v>
      </c>
      <c r="J47" s="232" t="s">
        <v>262</v>
      </c>
      <c r="K47" s="232"/>
      <c r="L47" s="232">
        <v>30</v>
      </c>
      <c r="M47" s="232">
        <v>1.5</v>
      </c>
      <c r="N47" s="232"/>
      <c r="O47" s="232">
        <v>4.683229167</v>
      </c>
      <c r="P47" s="429"/>
      <c r="Q47" s="429">
        <v>0</v>
      </c>
      <c r="R47" s="429">
        <v>22249.231014010813</v>
      </c>
      <c r="S47" s="429">
        <v>0</v>
      </c>
      <c r="T47" s="429">
        <v>0.47</v>
      </c>
      <c r="U47" s="429">
        <v>1.2956691715589803</v>
      </c>
      <c r="V47" s="429">
        <v>0.03333333333333333</v>
      </c>
      <c r="AA47" t="s">
        <v>279</v>
      </c>
    </row>
    <row r="48" spans="1:22" ht="12.75">
      <c r="A48" s="5" t="str">
        <f>+'Input Data'!I20</f>
        <v>CVD_MetW(C) </v>
      </c>
      <c r="B48" s="52"/>
      <c r="G48" s="234"/>
      <c r="H48" s="232">
        <v>303</v>
      </c>
      <c r="I48" s="232" t="s">
        <v>18</v>
      </c>
      <c r="J48" s="232" t="s">
        <v>262</v>
      </c>
      <c r="K48" s="232"/>
      <c r="L48" s="232">
        <v>60</v>
      </c>
      <c r="M48" s="414">
        <v>1.5</v>
      </c>
      <c r="N48" s="423"/>
      <c r="O48" s="232">
        <v>4.683229167</v>
      </c>
      <c r="P48" s="426"/>
      <c r="Q48" s="426">
        <v>0</v>
      </c>
      <c r="R48" s="426">
        <v>22277.83915953662</v>
      </c>
      <c r="S48" s="426">
        <v>0</v>
      </c>
      <c r="T48" s="429">
        <v>0.47</v>
      </c>
      <c r="U48" s="426">
        <v>0.648667573944113</v>
      </c>
      <c r="V48" s="426">
        <v>0.016666666666666666</v>
      </c>
    </row>
    <row r="49" spans="1:43" ht="12.75">
      <c r="A49" s="5" t="str">
        <f>+'Input Data'!I21</f>
        <v>Dry_Etch</v>
      </c>
      <c r="B49" s="52"/>
      <c r="G49" s="234"/>
      <c r="H49" s="232">
        <v>321</v>
      </c>
      <c r="I49" s="232" t="s">
        <v>19</v>
      </c>
      <c r="J49" s="232" t="s">
        <v>262</v>
      </c>
      <c r="K49" s="232"/>
      <c r="L49" s="232">
        <v>30</v>
      </c>
      <c r="M49" s="232">
        <v>1.5</v>
      </c>
      <c r="N49" s="232"/>
      <c r="O49" s="232">
        <v>4.683229167</v>
      </c>
      <c r="P49" s="429"/>
      <c r="Q49" s="429">
        <v>0</v>
      </c>
      <c r="R49" s="429">
        <v>22249.231014010813</v>
      </c>
      <c r="S49" s="429">
        <v>0</v>
      </c>
      <c r="T49" s="429">
        <v>0.47</v>
      </c>
      <c r="U49" s="429">
        <v>1.2956691715589803</v>
      </c>
      <c r="V49" s="429">
        <v>0.03333333333333333</v>
      </c>
      <c r="AA49" t="s">
        <v>45</v>
      </c>
      <c r="AO49" s="419" t="s">
        <v>392</v>
      </c>
      <c r="AP49" s="419" t="s">
        <v>392</v>
      </c>
      <c r="AQ49" t="s">
        <v>407</v>
      </c>
    </row>
    <row r="50" spans="1:43" ht="12.75">
      <c r="A50" s="5" t="str">
        <f>+'Input Data'!I22</f>
        <v>Dry_Etch(A)</v>
      </c>
      <c r="B50" s="52"/>
      <c r="G50" s="234"/>
      <c r="H50" s="232">
        <v>336</v>
      </c>
      <c r="I50" s="232" t="s">
        <v>18</v>
      </c>
      <c r="J50" s="232" t="s">
        <v>262</v>
      </c>
      <c r="K50" s="232"/>
      <c r="L50" s="232">
        <v>60</v>
      </c>
      <c r="M50" s="232">
        <v>1.5</v>
      </c>
      <c r="N50" s="232"/>
      <c r="O50" s="232">
        <v>4.683229167</v>
      </c>
      <c r="P50" s="429"/>
      <c r="Q50" s="429">
        <v>0</v>
      </c>
      <c r="R50" s="429">
        <v>22277.83915953662</v>
      </c>
      <c r="S50" s="429">
        <v>0</v>
      </c>
      <c r="T50" s="429">
        <v>0.47</v>
      </c>
      <c r="U50" s="429">
        <v>0.648667573944113</v>
      </c>
      <c r="V50" s="429">
        <v>0.016666666666666666</v>
      </c>
      <c r="AO50" s="419">
        <f>SUMPRODUCT(AG3:AG45,AO3:AO45)</f>
        <v>343.3350472425579</v>
      </c>
      <c r="AP50" s="419">
        <f>SUMPRODUCT(AG3:AG45,AP3:AP45)</f>
        <v>901.1980575919998</v>
      </c>
      <c r="AQ50">
        <f>CT_ACTUAL/CT_CALC</f>
        <v>2.6248356083360322</v>
      </c>
    </row>
    <row r="51" spans="1:27" ht="12.75">
      <c r="A51" s="5" t="str">
        <f>+'Input Data'!I23</f>
        <v>Dry_Etch(C) </v>
      </c>
      <c r="B51" s="52"/>
      <c r="G51" s="234"/>
      <c r="H51" s="232">
        <v>354</v>
      </c>
      <c r="I51" s="232" t="s">
        <v>19</v>
      </c>
      <c r="J51" s="232" t="s">
        <v>262</v>
      </c>
      <c r="K51" s="232"/>
      <c r="L51" s="232">
        <v>30</v>
      </c>
      <c r="M51" s="232">
        <v>1.5</v>
      </c>
      <c r="N51" s="232"/>
      <c r="O51" s="232">
        <v>4.683229167</v>
      </c>
      <c r="P51" s="429"/>
      <c r="Q51" s="429">
        <v>0</v>
      </c>
      <c r="R51" s="429">
        <v>22249.231014010813</v>
      </c>
      <c r="S51" s="429">
        <v>0</v>
      </c>
      <c r="T51" s="429">
        <v>0.47</v>
      </c>
      <c r="U51" s="429">
        <v>1.2956691715589803</v>
      </c>
      <c r="V51" s="429">
        <v>0.03333333333333333</v>
      </c>
      <c r="AA51" t="s">
        <v>282</v>
      </c>
    </row>
    <row r="52" spans="1:22" ht="12.75">
      <c r="A52" s="5" t="str">
        <f>+'Input Data'!I24</f>
        <v>Dry_Etch(I)</v>
      </c>
      <c r="B52" s="52"/>
      <c r="G52" s="234"/>
      <c r="H52" s="232">
        <v>369</v>
      </c>
      <c r="I52" s="232" t="s">
        <v>18</v>
      </c>
      <c r="J52" s="232" t="s">
        <v>262</v>
      </c>
      <c r="K52" s="232"/>
      <c r="L52" s="232">
        <v>60</v>
      </c>
      <c r="M52" s="232">
        <v>1.5</v>
      </c>
      <c r="N52" s="232"/>
      <c r="O52" s="232">
        <v>4.683229167</v>
      </c>
      <c r="P52" s="429"/>
      <c r="Q52" s="429">
        <v>0</v>
      </c>
      <c r="R52" s="429">
        <v>22277.83915953662</v>
      </c>
      <c r="S52" s="429">
        <v>0</v>
      </c>
      <c r="T52" s="429">
        <v>0.47</v>
      </c>
      <c r="U52" s="429">
        <v>0.648667573944113</v>
      </c>
      <c r="V52" s="429">
        <v>0.016666666666666666</v>
      </c>
    </row>
    <row r="53" spans="1:22" ht="12.75">
      <c r="A53" s="5" t="str">
        <f>+'Input Data'!I25</f>
        <v>Dry_Etch_Met</v>
      </c>
      <c r="B53" s="52"/>
      <c r="G53" s="234"/>
      <c r="H53" s="232">
        <v>387</v>
      </c>
      <c r="I53" s="232" t="s">
        <v>19</v>
      </c>
      <c r="J53" s="232" t="s">
        <v>262</v>
      </c>
      <c r="K53" s="232"/>
      <c r="L53" s="232">
        <v>30</v>
      </c>
      <c r="M53" s="232">
        <v>1.5</v>
      </c>
      <c r="N53" s="232"/>
      <c r="O53" s="232">
        <v>4.683229167</v>
      </c>
      <c r="P53" s="429"/>
      <c r="Q53" s="429">
        <v>0</v>
      </c>
      <c r="R53" s="429">
        <v>22249.231014010813</v>
      </c>
      <c r="S53" s="429">
        <v>0</v>
      </c>
      <c r="T53" s="429">
        <v>0.47</v>
      </c>
      <c r="U53" s="429">
        <v>1.2956691715589803</v>
      </c>
      <c r="V53" s="429">
        <v>0.03333333333333333</v>
      </c>
    </row>
    <row r="54" spans="1:27" ht="12.75">
      <c r="A54" s="5" t="str">
        <f>+'Input Data'!I26</f>
        <v>Dry_Strip</v>
      </c>
      <c r="B54" s="52"/>
      <c r="G54" s="234"/>
      <c r="H54" s="232">
        <v>44</v>
      </c>
      <c r="I54" s="232" t="s">
        <v>21</v>
      </c>
      <c r="J54" s="232" t="str">
        <f>+'Input Data'!I24</f>
        <v>Dry_Etch(I)</v>
      </c>
      <c r="K54" s="232"/>
      <c r="L54" s="232">
        <v>25</v>
      </c>
      <c r="M54" s="414">
        <v>1.5</v>
      </c>
      <c r="N54" s="423"/>
      <c r="O54" s="232">
        <v>4.683229167</v>
      </c>
      <c r="P54" s="426"/>
      <c r="Q54" s="74">
        <f>+WS*LY^(($H82-1)/$B$24)*P54</f>
        <v>0</v>
      </c>
      <c r="R54" s="74">
        <f>+WS*LY^(($H82-1)/$B$24)*M54</f>
        <v>37034.020218410944</v>
      </c>
      <c r="S54" s="74">
        <f>+WS*LY^(($H82-1)/$B$24)*N54</f>
        <v>0</v>
      </c>
      <c r="T54" s="70">
        <f>+'Input Data'!$J$24</f>
        <v>0.47</v>
      </c>
      <c r="U54" s="74">
        <f>+WS*(LY^((+H82-1)/$B$24))*(1/L54)/(1-T54)/720</f>
        <v>2.5879818461503103</v>
      </c>
      <c r="V54" s="74">
        <f>1/L54</f>
        <v>0.04</v>
      </c>
      <c r="Y54" s="94" t="s">
        <v>23</v>
      </c>
      <c r="AA54" t="s">
        <v>267</v>
      </c>
    </row>
    <row r="55" spans="1:27" ht="12.75">
      <c r="A55" s="5" t="str">
        <f>+'Input Data'!I27</f>
        <v>Dry_Strip(D)</v>
      </c>
      <c r="B55" s="52"/>
      <c r="G55" s="234"/>
      <c r="H55" s="232">
        <v>54</v>
      </c>
      <c r="I55" s="232" t="s">
        <v>22</v>
      </c>
      <c r="J55" s="232" t="str">
        <f>+'Input Data'!I24</f>
        <v>Dry_Etch(I)</v>
      </c>
      <c r="K55" s="232"/>
      <c r="L55" s="232">
        <v>30</v>
      </c>
      <c r="M55" s="414">
        <v>1.5</v>
      </c>
      <c r="N55" s="423"/>
      <c r="O55" s="232">
        <v>4.683229167</v>
      </c>
      <c r="P55" s="426"/>
      <c r="Q55" s="74">
        <f>+WS*LY^(($H100-1)/$B$24)*P55</f>
        <v>0</v>
      </c>
      <c r="R55" s="74">
        <f>+WS*LY^(($H100-1)/$B$24)*M55</f>
        <v>37026.36691754238</v>
      </c>
      <c r="S55" s="74">
        <f>+WS*LY^(($H100-1)/$B$24)*N55</f>
        <v>0</v>
      </c>
      <c r="T55" s="70">
        <f>+'Input Data'!$J$24</f>
        <v>0.47</v>
      </c>
      <c r="U55" s="74">
        <f>+WS*(LY^((+H100-1)/$B$24))*(1/L55)/(1-T55)/720</f>
        <v>2.156205853572232</v>
      </c>
      <c r="V55" s="74">
        <f>1/L55</f>
        <v>0.03333333333333333</v>
      </c>
      <c r="Y55" s="94" t="s">
        <v>266</v>
      </c>
      <c r="AA55" t="s">
        <v>268</v>
      </c>
    </row>
    <row r="56" spans="1:27" ht="12.75">
      <c r="A56" s="5" t="str">
        <f>+'Input Data'!I28</f>
        <v>Dry_Strip(I)</v>
      </c>
      <c r="B56" s="52"/>
      <c r="G56" s="234"/>
      <c r="H56" s="232">
        <v>58</v>
      </c>
      <c r="I56" s="232" t="s">
        <v>23</v>
      </c>
      <c r="J56" s="232" t="str">
        <f>+'Input Data'!I24</f>
        <v>Dry_Etch(I)</v>
      </c>
      <c r="K56" s="232"/>
      <c r="L56" s="232">
        <v>30</v>
      </c>
      <c r="M56" s="414">
        <v>1.5</v>
      </c>
      <c r="N56" s="423"/>
      <c r="O56" s="232">
        <v>1.557967836</v>
      </c>
      <c r="P56" s="426"/>
      <c r="Q56" s="74">
        <f>+WS*LY^(($H101-1)/$B$24)*P56</f>
        <v>0</v>
      </c>
      <c r="R56" s="74">
        <f>+WS*LY^(($H101-1)/$B$24)*M56</f>
        <v>37401.31249445296</v>
      </c>
      <c r="S56" s="74">
        <f>+WS*LY^(($H101-1)/$B$24)*N56</f>
        <v>0</v>
      </c>
      <c r="T56" s="70">
        <f>+'Input Data'!$J$24</f>
        <v>0.47</v>
      </c>
      <c r="U56" s="74">
        <f>+WS*(LY^((+H101-1)/$B$24))*(1/L56)/(1-T56)/720</f>
        <v>2.178040559891274</v>
      </c>
      <c r="V56" s="74">
        <f>1/L56</f>
        <v>0.03333333333333333</v>
      </c>
      <c r="Y56" s="94" t="s">
        <v>267</v>
      </c>
      <c r="AA56" t="s">
        <v>269</v>
      </c>
    </row>
    <row r="57" spans="1:27" ht="12.75">
      <c r="A57" s="5" t="str">
        <f>+'Input Data'!I29</f>
        <v>Furn_FastRmp</v>
      </c>
      <c r="B57" s="52"/>
      <c r="G57" s="234"/>
      <c r="H57" s="232">
        <v>253</v>
      </c>
      <c r="I57" s="232" t="s">
        <v>21</v>
      </c>
      <c r="J57" s="232" t="s">
        <v>263</v>
      </c>
      <c r="K57" s="232"/>
      <c r="L57" s="232">
        <v>25</v>
      </c>
      <c r="M57" s="232">
        <v>1.5</v>
      </c>
      <c r="N57" s="232"/>
      <c r="O57" s="232">
        <v>4.683229167</v>
      </c>
      <c r="P57" s="429"/>
      <c r="Q57" s="429">
        <v>0</v>
      </c>
      <c r="R57" s="429">
        <v>22413.430961236598</v>
      </c>
      <c r="S57" s="429">
        <v>0</v>
      </c>
      <c r="T57" s="429">
        <v>0.47</v>
      </c>
      <c r="U57" s="429">
        <v>1.5662774955441368</v>
      </c>
      <c r="V57" s="429">
        <v>0.04</v>
      </c>
      <c r="AA57" t="s">
        <v>270</v>
      </c>
    </row>
    <row r="58" spans="1:27" ht="12.75">
      <c r="A58" s="5" t="str">
        <f>+'Input Data'!I30</f>
        <v>Furn_Nitr</v>
      </c>
      <c r="B58" s="52"/>
      <c r="G58" s="234"/>
      <c r="H58" s="232">
        <v>96</v>
      </c>
      <c r="I58" s="232" t="s">
        <v>24</v>
      </c>
      <c r="J58" s="232" t="str">
        <f>+'Input Data'!I25</f>
        <v>Dry_Etch_Met</v>
      </c>
      <c r="K58" s="232"/>
      <c r="L58" s="232">
        <v>30</v>
      </c>
      <c r="M58" s="414">
        <v>1.5</v>
      </c>
      <c r="N58" s="423"/>
      <c r="O58" s="232">
        <v>4.189074074</v>
      </c>
      <c r="P58" s="426"/>
      <c r="Q58" s="74">
        <f>+WS*LY^(($H216-1)/$B$24)*P58</f>
        <v>0</v>
      </c>
      <c r="R58" s="74">
        <f>+WS*LY^(($H216-1)/$B$24)*M58</f>
        <v>36801.30466941387</v>
      </c>
      <c r="S58" s="74">
        <f>+WS*LY^(($H216-1)/$B$24)*N58</f>
        <v>0</v>
      </c>
      <c r="T58" s="70">
        <f>+'Input Data'!$J$25</f>
        <v>0.41000000000000003</v>
      </c>
      <c r="U58" s="74">
        <f>+WS*(LY^((+H216-1)/$B$24))*(1/L58)/(1-T58)/720</f>
        <v>1.925157180864923</v>
      </c>
      <c r="V58" s="74">
        <f>1/L58</f>
        <v>0.03333333333333333</v>
      </c>
      <c r="Y58" s="94" t="s">
        <v>268</v>
      </c>
      <c r="AA58" t="s">
        <v>271</v>
      </c>
    </row>
    <row r="59" spans="1:27" ht="12.75">
      <c r="A59" s="5" t="str">
        <f>+'Input Data'!I31</f>
        <v>Furn_OxAn</v>
      </c>
      <c r="B59" s="52"/>
      <c r="G59" s="234"/>
      <c r="H59" s="232">
        <v>271</v>
      </c>
      <c r="I59" s="232" t="s">
        <v>24</v>
      </c>
      <c r="J59" s="232" t="s">
        <v>265</v>
      </c>
      <c r="K59" s="232"/>
      <c r="L59" s="232">
        <v>30</v>
      </c>
      <c r="M59" s="232">
        <v>1.5</v>
      </c>
      <c r="N59" s="232"/>
      <c r="O59" s="232">
        <v>4.189074074</v>
      </c>
      <c r="P59" s="429"/>
      <c r="Q59" s="429">
        <v>0</v>
      </c>
      <c r="R59" s="429">
        <v>22276.248853530356</v>
      </c>
      <c r="S59" s="429">
        <v>0</v>
      </c>
      <c r="T59" s="429">
        <v>0.41</v>
      </c>
      <c r="U59" s="429">
        <v>1.1653195675627934</v>
      </c>
      <c r="V59" s="429">
        <v>0.03333333333333333</v>
      </c>
      <c r="AA59" t="s">
        <v>285</v>
      </c>
    </row>
    <row r="60" spans="1:27" ht="12.75">
      <c r="A60" s="5" t="str">
        <f>+'Input Data'!I32</f>
        <v>Furn_OxAn(I)</v>
      </c>
      <c r="B60" s="52"/>
      <c r="G60" s="234"/>
      <c r="H60" s="232">
        <v>304</v>
      </c>
      <c r="I60" s="232" t="s">
        <v>24</v>
      </c>
      <c r="J60" s="232" t="s">
        <v>265</v>
      </c>
      <c r="K60" s="232"/>
      <c r="L60" s="232">
        <v>30</v>
      </c>
      <c r="M60" s="414">
        <v>1.5</v>
      </c>
      <c r="N60" s="423"/>
      <c r="O60" s="232">
        <v>4.189074074</v>
      </c>
      <c r="P60" s="426"/>
      <c r="Q60" s="426">
        <v>0</v>
      </c>
      <c r="R60" s="426">
        <v>22276.248853530356</v>
      </c>
      <c r="S60" s="426">
        <v>0</v>
      </c>
      <c r="T60" s="429">
        <v>0.41</v>
      </c>
      <c r="U60" s="426">
        <v>1.1653195675627934</v>
      </c>
      <c r="V60" s="426">
        <v>0.03333333333333333</v>
      </c>
      <c r="AA60" t="s">
        <v>270</v>
      </c>
    </row>
    <row r="61" spans="1:27" ht="12.75">
      <c r="A61" s="5" t="str">
        <f>+'Input Data'!I33</f>
        <v>Furn_Poly</v>
      </c>
      <c r="B61" s="52"/>
      <c r="G61" s="234"/>
      <c r="H61" s="232">
        <v>337</v>
      </c>
      <c r="I61" s="232" t="s">
        <v>24</v>
      </c>
      <c r="J61" s="232" t="s">
        <v>265</v>
      </c>
      <c r="K61" s="232"/>
      <c r="L61" s="232">
        <v>30</v>
      </c>
      <c r="M61" s="232">
        <v>1.5</v>
      </c>
      <c r="N61" s="232"/>
      <c r="O61" s="232">
        <v>4.189074074</v>
      </c>
      <c r="P61" s="429"/>
      <c r="Q61" s="429">
        <v>0</v>
      </c>
      <c r="R61" s="429">
        <v>22276.248853530356</v>
      </c>
      <c r="S61" s="429">
        <v>0</v>
      </c>
      <c r="T61" s="429">
        <v>0.41</v>
      </c>
      <c r="U61" s="429">
        <v>1.1653195675627934</v>
      </c>
      <c r="V61" s="429">
        <v>0.03333333333333333</v>
      </c>
      <c r="AA61" t="s">
        <v>272</v>
      </c>
    </row>
    <row r="62" spans="1:27" ht="12.75">
      <c r="A62" s="5" t="str">
        <f>+'Input Data'!I34</f>
        <v>Furn_TEOS</v>
      </c>
      <c r="B62" s="52"/>
      <c r="G62" s="234"/>
      <c r="H62" s="232">
        <v>370</v>
      </c>
      <c r="I62" s="232" t="s">
        <v>24</v>
      </c>
      <c r="J62" s="232" t="s">
        <v>265</v>
      </c>
      <c r="K62" s="232"/>
      <c r="L62" s="232">
        <v>30</v>
      </c>
      <c r="M62" s="232">
        <v>1.5</v>
      </c>
      <c r="N62" s="232"/>
      <c r="O62" s="232">
        <v>4.189074074</v>
      </c>
      <c r="P62" s="429"/>
      <c r="Q62" s="429">
        <v>0</v>
      </c>
      <c r="R62" s="429">
        <v>22276.248853530356</v>
      </c>
      <c r="S62" s="429">
        <v>0</v>
      </c>
      <c r="T62" s="429">
        <v>0.41</v>
      </c>
      <c r="U62" s="429">
        <v>1.1653195675627934</v>
      </c>
      <c r="V62" s="429">
        <v>0.03333333333333333</v>
      </c>
      <c r="AA62" t="s">
        <v>273</v>
      </c>
    </row>
    <row r="63" spans="1:27" ht="12.75">
      <c r="A63" s="5" t="str">
        <f>+'Input Data'!I35</f>
        <v>Implant_HiE</v>
      </c>
      <c r="B63" s="52"/>
      <c r="G63" s="234"/>
      <c r="H63" s="232">
        <v>23</v>
      </c>
      <c r="I63" s="232" t="s">
        <v>23</v>
      </c>
      <c r="J63" s="232" t="str">
        <f>+'Input Data'!I26</f>
        <v>Dry_Strip</v>
      </c>
      <c r="K63" s="232"/>
      <c r="L63" s="232">
        <v>30</v>
      </c>
      <c r="M63" s="414">
        <v>0</v>
      </c>
      <c r="N63" s="423"/>
      <c r="O63" s="232">
        <v>1.557967836</v>
      </c>
      <c r="P63" s="426"/>
      <c r="Q63" s="74">
        <f>+WS*LY^(($H63-1)/$B$24)*P63</f>
        <v>0</v>
      </c>
      <c r="R63" s="74">
        <f>+WS*LY^(($H63-1)/$B$24)*M63</f>
        <v>0</v>
      </c>
      <c r="S63" s="74">
        <f>+WS*LY^(($H63-1)/$B$24)*N63</f>
        <v>0</v>
      </c>
      <c r="T63" s="70">
        <f>+'Input Data'!$J$26</f>
        <v>0.35</v>
      </c>
      <c r="U63" s="74">
        <f>+WS*(LY^((+H63-1)/$B$24))*(1/L63)/(1-T63)/720</f>
        <v>1.778603847235521</v>
      </c>
      <c r="V63" s="74">
        <f aca="true" t="shared" si="11" ref="V63:V69">1/L63</f>
        <v>0.03333333333333333</v>
      </c>
      <c r="Y63" s="94" t="s">
        <v>269</v>
      </c>
      <c r="AA63" t="s">
        <v>270</v>
      </c>
    </row>
    <row r="64" spans="1:27" ht="12.75">
      <c r="A64" s="5" t="str">
        <f>+'Input Data'!I36</f>
        <v>Implant_LoE</v>
      </c>
      <c r="B64" s="52"/>
      <c r="G64" s="234"/>
      <c r="H64" s="232">
        <v>60</v>
      </c>
      <c r="I64" s="232" t="s">
        <v>25</v>
      </c>
      <c r="J64" s="232" t="str">
        <f>+'Input Data'!I27</f>
        <v>Dry_Strip(D)</v>
      </c>
      <c r="K64" s="232"/>
      <c r="L64" s="232">
        <v>80</v>
      </c>
      <c r="M64" s="414">
        <v>0</v>
      </c>
      <c r="N64" s="423"/>
      <c r="O64" s="232">
        <v>1.557967836</v>
      </c>
      <c r="P64" s="426"/>
      <c r="Q64" s="74">
        <f>+WS*LY^(($H109-1)/$B$24)*P64</f>
        <v>0</v>
      </c>
      <c r="R64" s="74">
        <f>+WS*LY^(($H109-1)/$B$24)*M64</f>
        <v>0</v>
      </c>
      <c r="S64" s="74">
        <f>+WS*LY^(($H109-1)/$B$24)*N64</f>
        <v>0</v>
      </c>
      <c r="T64" s="70">
        <f>+'Input Data'!$J$27</f>
        <v>0.35</v>
      </c>
      <c r="U64" s="74">
        <f>+WS*(LY^((+H109-1)/$B$24))*(1/L64)/(1-T64)/720</f>
        <v>0.6625798328490974</v>
      </c>
      <c r="V64" s="74">
        <f t="shared" si="11"/>
        <v>0.0125</v>
      </c>
      <c r="Y64" s="94" t="s">
        <v>271</v>
      </c>
      <c r="AA64" t="s">
        <v>272</v>
      </c>
    </row>
    <row r="65" spans="1:27" ht="12.75">
      <c r="A65" s="5" t="str">
        <f>+'Input Data'!I37</f>
        <v>Insp_PLY</v>
      </c>
      <c r="B65" s="52"/>
      <c r="G65" s="234"/>
      <c r="H65" s="232">
        <v>82</v>
      </c>
      <c r="I65" s="232" t="s">
        <v>25</v>
      </c>
      <c r="J65" s="232" t="str">
        <f>+'Input Data'!I27</f>
        <v>Dry_Strip(D)</v>
      </c>
      <c r="K65" s="232"/>
      <c r="L65" s="232">
        <v>80</v>
      </c>
      <c r="M65" s="414">
        <v>0</v>
      </c>
      <c r="N65" s="423"/>
      <c r="O65" s="232">
        <v>1.557967836</v>
      </c>
      <c r="P65" s="426"/>
      <c r="Q65" s="74">
        <f>+WS*LY^(($H223-1)/$B$24)*P65</f>
        <v>0</v>
      </c>
      <c r="R65" s="74">
        <f>+WS*LY^(($H223-1)/$B$24)*M65</f>
        <v>0</v>
      </c>
      <c r="S65" s="74">
        <f>+WS*LY^(($H223-1)/$B$24)*N65</f>
        <v>0</v>
      </c>
      <c r="T65" s="70">
        <f>+'Input Data'!$J$27</f>
        <v>0.35</v>
      </c>
      <c r="U65" s="74">
        <f>+WS*(LY^((+H223-1)/$B$24))*(1/L65)/(1-T65)/720</f>
        <v>0.662442906780031</v>
      </c>
      <c r="V65" s="74">
        <f t="shared" si="11"/>
        <v>0.0125</v>
      </c>
      <c r="Y65" s="94" t="s">
        <v>270</v>
      </c>
      <c r="AA65" t="s">
        <v>273</v>
      </c>
    </row>
    <row r="66" spans="1:27" ht="12.75">
      <c r="A66" s="5" t="str">
        <f>+'Input Data'!I38</f>
        <v>Insp_Visual</v>
      </c>
      <c r="B66" s="52"/>
      <c r="G66" s="234"/>
      <c r="H66" s="232">
        <v>122</v>
      </c>
      <c r="I66" s="232" t="s">
        <v>25</v>
      </c>
      <c r="J66" s="232" t="str">
        <f>+'Input Data'!I27</f>
        <v>Dry_Strip(D)</v>
      </c>
      <c r="K66" s="232"/>
      <c r="L66" s="232">
        <v>80</v>
      </c>
      <c r="M66" s="414">
        <v>0</v>
      </c>
      <c r="N66" s="423"/>
      <c r="O66" s="232">
        <v>1.557967836</v>
      </c>
      <c r="P66" s="426"/>
      <c r="Q66" s="74">
        <f>+WS*LY^(($H224-1)/$B$24)*P66</f>
        <v>0</v>
      </c>
      <c r="R66" s="74">
        <f>+WS*LY^(($H224-1)/$B$24)*M66</f>
        <v>0</v>
      </c>
      <c r="S66" s="74">
        <f>+WS*LY^(($H224-1)/$B$24)*N66</f>
        <v>0</v>
      </c>
      <c r="T66" s="70">
        <f>+'Input Data'!$J$27</f>
        <v>0.35</v>
      </c>
      <c r="U66" s="74">
        <f>+WS*(LY^((+H224-1)/$B$24))*(1/L66)/(1-T66)/720</f>
        <v>0.662134926575122</v>
      </c>
      <c r="V66" s="74">
        <f t="shared" si="11"/>
        <v>0.0125</v>
      </c>
      <c r="Y66" s="94" t="s">
        <v>272</v>
      </c>
      <c r="AA66" t="s">
        <v>274</v>
      </c>
    </row>
    <row r="67" spans="1:27" ht="12.75">
      <c r="A67" s="5" t="str">
        <f>+'Input Data'!I39</f>
        <v>Litho_248</v>
      </c>
      <c r="B67" s="52"/>
      <c r="G67" s="234"/>
      <c r="H67" s="232">
        <v>10</v>
      </c>
      <c r="I67" s="232" t="s">
        <v>25</v>
      </c>
      <c r="J67" s="232" t="str">
        <f>+'Input Data'!I28</f>
        <v>Dry_Strip(I)</v>
      </c>
      <c r="K67" s="232"/>
      <c r="L67" s="232">
        <v>80</v>
      </c>
      <c r="M67" s="414">
        <v>0</v>
      </c>
      <c r="N67" s="423"/>
      <c r="O67" s="232">
        <v>1.557967836</v>
      </c>
      <c r="P67" s="426"/>
      <c r="Q67" s="74">
        <f>+WS*LY^(($H67-1)/$B$24)*P67</f>
        <v>0</v>
      </c>
      <c r="R67" s="74">
        <f>+WS*LY^(($H67-1)/$B$24)*M67</f>
        <v>0</v>
      </c>
      <c r="S67" s="74">
        <f>+WS*LY^(($H67-1)/$B$24)*N67</f>
        <v>0</v>
      </c>
      <c r="T67" s="70">
        <f>+'Input Data'!$J$28</f>
        <v>0.35</v>
      </c>
      <c r="U67" s="74">
        <f>+WS*(LY^((+H67-1)/$B$24))*(1/L67)/(1-T67)/720</f>
        <v>0.6674246021322653</v>
      </c>
      <c r="V67" s="74">
        <f t="shared" si="11"/>
        <v>0.0125</v>
      </c>
      <c r="Y67" s="94" t="s">
        <v>273</v>
      </c>
      <c r="AA67" t="s">
        <v>275</v>
      </c>
    </row>
    <row r="68" spans="1:27" ht="12.75">
      <c r="A68" s="5" t="str">
        <f>+'Input Data'!I40</f>
        <v>Litho_I</v>
      </c>
      <c r="B68" s="52"/>
      <c r="G68" s="234"/>
      <c r="H68" s="232">
        <v>34</v>
      </c>
      <c r="I68" s="232" t="s">
        <v>25</v>
      </c>
      <c r="J68" s="232" t="str">
        <f>+'Input Data'!I28</f>
        <v>Dry_Strip(I)</v>
      </c>
      <c r="K68" s="232"/>
      <c r="L68" s="232">
        <v>80</v>
      </c>
      <c r="M68" s="414">
        <v>0</v>
      </c>
      <c r="N68" s="423"/>
      <c r="O68" s="232">
        <v>1.557967836</v>
      </c>
      <c r="P68" s="426"/>
      <c r="Q68" s="74">
        <f>+WS*LY^(($H68-1)/$B$24)*P68</f>
        <v>0</v>
      </c>
      <c r="R68" s="74">
        <f>+WS*LY^(($H68-1)/$B$24)*M68</f>
        <v>0</v>
      </c>
      <c r="S68" s="74">
        <f>+WS*LY^(($H68-1)/$B$24)*N68</f>
        <v>0</v>
      </c>
      <c r="T68" s="70">
        <f>+'Input Data'!$J$28</f>
        <v>0.35</v>
      </c>
      <c r="U68" s="74">
        <f>+WS*(LY^((+H68-1)/$B$24))*(1/L68)/(1-T68)/720</f>
        <v>0.6665974659498739</v>
      </c>
      <c r="V68" s="74">
        <f t="shared" si="11"/>
        <v>0.0125</v>
      </c>
      <c r="Y68" s="94" t="s">
        <v>274</v>
      </c>
      <c r="AA68" t="s">
        <v>276</v>
      </c>
    </row>
    <row r="69" spans="1:27" ht="12.75">
      <c r="A69" s="5" t="str">
        <f>+'Input Data'!I41</f>
        <v>Litho_Iw</v>
      </c>
      <c r="B69" s="52"/>
      <c r="G69" s="234"/>
      <c r="H69" s="232">
        <v>47</v>
      </c>
      <c r="I69" s="232" t="s">
        <v>25</v>
      </c>
      <c r="J69" s="232" t="str">
        <f>+'Input Data'!I28</f>
        <v>Dry_Strip(I)</v>
      </c>
      <c r="K69" s="232"/>
      <c r="L69" s="232">
        <v>80</v>
      </c>
      <c r="M69" s="414">
        <v>0</v>
      </c>
      <c r="N69" s="423"/>
      <c r="O69" s="232">
        <v>1.557967836</v>
      </c>
      <c r="P69" s="426"/>
      <c r="Q69" s="74">
        <f>+WS*LY^(($H114-1)/$B$24)*P69</f>
        <v>0</v>
      </c>
      <c r="R69" s="74">
        <f>+WS*LY^(($H114-1)/$B$24)*M69</f>
        <v>0</v>
      </c>
      <c r="S69" s="74">
        <f>+WS*LY^(($H114-1)/$B$24)*N69</f>
        <v>0</v>
      </c>
      <c r="T69" s="70">
        <f>+'Input Data'!$J$28</f>
        <v>0.35</v>
      </c>
      <c r="U69" s="74">
        <f>+WS*(LY^((+H114-1)/$B$24))*(1/L69)/(1-T69)/720</f>
        <v>0.6616903190449096</v>
      </c>
      <c r="V69" s="74">
        <f t="shared" si="11"/>
        <v>0.0125</v>
      </c>
      <c r="Y69" s="94" t="s">
        <v>275</v>
      </c>
      <c r="AA69" t="s">
        <v>277</v>
      </c>
    </row>
    <row r="70" spans="1:27" ht="12.75">
      <c r="A70" s="5" t="str">
        <f>+'Input Data'!I42</f>
        <v>Meas_CD</v>
      </c>
      <c r="B70" s="52"/>
      <c r="G70" s="234"/>
      <c r="H70" s="232">
        <v>135</v>
      </c>
      <c r="I70" s="232" t="s">
        <v>25</v>
      </c>
      <c r="J70" s="232" t="s">
        <v>267</v>
      </c>
      <c r="K70" s="232"/>
      <c r="L70" s="232">
        <v>80</v>
      </c>
      <c r="M70" s="232">
        <v>0</v>
      </c>
      <c r="N70" s="232"/>
      <c r="O70" s="232">
        <v>1.557967836</v>
      </c>
      <c r="P70" s="429"/>
      <c r="Q70" s="429">
        <v>0</v>
      </c>
      <c r="R70" s="429">
        <v>0</v>
      </c>
      <c r="S70" s="429">
        <v>0</v>
      </c>
      <c r="T70" s="429">
        <v>0.35</v>
      </c>
      <c r="U70" s="429">
        <v>0.39969830928520905</v>
      </c>
      <c r="V70" s="429">
        <v>0.0125</v>
      </c>
      <c r="AA70" t="s">
        <v>280</v>
      </c>
    </row>
    <row r="71" spans="1:27" ht="12.75">
      <c r="A71" s="5" t="str">
        <f>+'Input Data'!I43</f>
        <v>Meas_Film</v>
      </c>
      <c r="B71" s="52"/>
      <c r="G71" s="234"/>
      <c r="H71" s="232">
        <v>144</v>
      </c>
      <c r="I71" s="232" t="s">
        <v>25</v>
      </c>
      <c r="J71" s="232" t="s">
        <v>267</v>
      </c>
      <c r="K71" s="232"/>
      <c r="L71" s="232">
        <v>80</v>
      </c>
      <c r="M71" s="232">
        <v>0</v>
      </c>
      <c r="N71" s="232"/>
      <c r="O71" s="232">
        <v>1.557967836</v>
      </c>
      <c r="P71" s="429"/>
      <c r="Q71" s="429">
        <v>0</v>
      </c>
      <c r="R71" s="429">
        <v>0</v>
      </c>
      <c r="S71" s="429">
        <v>0</v>
      </c>
      <c r="T71" s="429">
        <v>0.35</v>
      </c>
      <c r="U71" s="429">
        <v>0.39969830928520905</v>
      </c>
      <c r="V71" s="429">
        <v>0.0125</v>
      </c>
      <c r="AA71" t="s">
        <v>45</v>
      </c>
    </row>
    <row r="72" spans="1:27" ht="12.75">
      <c r="A72" s="5" t="str">
        <f>+'Input Data'!I44</f>
        <v>Meas_Overlay</v>
      </c>
      <c r="B72" s="52"/>
      <c r="G72" s="234"/>
      <c r="H72" s="232">
        <v>153</v>
      </c>
      <c r="I72" s="232" t="s">
        <v>25</v>
      </c>
      <c r="J72" s="232" t="s">
        <v>267</v>
      </c>
      <c r="K72" s="232"/>
      <c r="L72" s="232">
        <v>80</v>
      </c>
      <c r="M72" s="232">
        <v>0</v>
      </c>
      <c r="N72" s="232"/>
      <c r="O72" s="232">
        <v>1.557967836</v>
      </c>
      <c r="P72" s="429"/>
      <c r="Q72" s="429">
        <v>0</v>
      </c>
      <c r="R72" s="429">
        <v>0</v>
      </c>
      <c r="S72" s="429">
        <v>0</v>
      </c>
      <c r="T72" s="429">
        <v>0.35</v>
      </c>
      <c r="U72" s="429">
        <v>0.39969830928520905</v>
      </c>
      <c r="V72" s="429">
        <v>0.0125</v>
      </c>
      <c r="AA72" t="s">
        <v>46</v>
      </c>
    </row>
    <row r="73" spans="1:27" ht="12.75">
      <c r="A73" s="5" t="str">
        <f>+'Input Data'!I45</f>
        <v>PVD_Met</v>
      </c>
      <c r="B73" s="52"/>
      <c r="G73" s="234"/>
      <c r="H73" s="232">
        <v>162</v>
      </c>
      <c r="I73" s="232" t="s">
        <v>25</v>
      </c>
      <c r="J73" s="232" t="s">
        <v>267</v>
      </c>
      <c r="K73" s="232"/>
      <c r="L73" s="232">
        <v>80</v>
      </c>
      <c r="M73" s="232">
        <v>0</v>
      </c>
      <c r="N73" s="232"/>
      <c r="O73" s="232">
        <v>1.557967836</v>
      </c>
      <c r="P73" s="429"/>
      <c r="Q73" s="429">
        <v>0</v>
      </c>
      <c r="R73" s="429">
        <v>0</v>
      </c>
      <c r="S73" s="429">
        <v>0</v>
      </c>
      <c r="T73" s="429">
        <v>0.35</v>
      </c>
      <c r="U73" s="429">
        <v>0.39969830928520905</v>
      </c>
      <c r="V73" s="429">
        <v>0.0125</v>
      </c>
      <c r="AA73" t="s">
        <v>47</v>
      </c>
    </row>
    <row r="74" spans="1:27" ht="12.75">
      <c r="A74" s="5" t="str">
        <f>+'Input Data'!I46</f>
        <v>PVD_Met(C) </v>
      </c>
      <c r="B74" s="52"/>
      <c r="G74" s="234"/>
      <c r="H74" s="232">
        <v>171</v>
      </c>
      <c r="I74" s="232" t="s">
        <v>25</v>
      </c>
      <c r="J74" s="232" t="s">
        <v>267</v>
      </c>
      <c r="K74" s="232"/>
      <c r="L74" s="232">
        <v>80</v>
      </c>
      <c r="M74" s="232">
        <v>0</v>
      </c>
      <c r="N74" s="232"/>
      <c r="O74" s="232">
        <v>1.557967836</v>
      </c>
      <c r="P74" s="429"/>
      <c r="Q74" s="429">
        <v>0</v>
      </c>
      <c r="R74" s="429">
        <v>0</v>
      </c>
      <c r="S74" s="429">
        <v>0</v>
      </c>
      <c r="T74" s="429">
        <v>0.35</v>
      </c>
      <c r="U74" s="429">
        <v>0.39969830928520905</v>
      </c>
      <c r="V74" s="429">
        <v>0.0125</v>
      </c>
      <c r="AA74" t="s">
        <v>282</v>
      </c>
    </row>
    <row r="75" spans="1:27" ht="12.75">
      <c r="A75" s="5" t="str">
        <f>+'Input Data'!I47</f>
        <v>RTP_OxAn(C) </v>
      </c>
      <c r="B75" s="52"/>
      <c r="G75" s="234"/>
      <c r="H75" s="232">
        <v>180</v>
      </c>
      <c r="I75" s="232" t="s">
        <v>25</v>
      </c>
      <c r="J75" s="232" t="s">
        <v>267</v>
      </c>
      <c r="K75" s="232"/>
      <c r="L75" s="232">
        <v>80</v>
      </c>
      <c r="M75" s="232">
        <v>0</v>
      </c>
      <c r="N75" s="232"/>
      <c r="O75" s="232">
        <v>1.557967836</v>
      </c>
      <c r="P75" s="429"/>
      <c r="Q75" s="429">
        <v>0</v>
      </c>
      <c r="R75" s="429">
        <v>0</v>
      </c>
      <c r="S75" s="429">
        <v>0</v>
      </c>
      <c r="T75" s="429">
        <v>0.35</v>
      </c>
      <c r="U75" s="429">
        <v>0.39969830928520905</v>
      </c>
      <c r="V75" s="429">
        <v>0.0125</v>
      </c>
      <c r="AA75" t="s">
        <v>281</v>
      </c>
    </row>
    <row r="76" spans="1:27" ht="12.75">
      <c r="A76" s="5" t="str">
        <f>+'Input Data'!I48</f>
        <v>Test</v>
      </c>
      <c r="B76" s="52"/>
      <c r="G76" s="234"/>
      <c r="H76" s="232">
        <v>189</v>
      </c>
      <c r="I76" s="232" t="s">
        <v>25</v>
      </c>
      <c r="J76" s="232" t="s">
        <v>267</v>
      </c>
      <c r="K76" s="232"/>
      <c r="L76" s="232">
        <v>80</v>
      </c>
      <c r="M76" s="232">
        <v>0</v>
      </c>
      <c r="N76" s="232"/>
      <c r="O76" s="232">
        <v>1.557967836</v>
      </c>
      <c r="P76" s="429"/>
      <c r="Q76" s="429">
        <v>0</v>
      </c>
      <c r="R76" s="429">
        <v>0</v>
      </c>
      <c r="S76" s="429">
        <v>0</v>
      </c>
      <c r="T76" s="429">
        <v>0.35</v>
      </c>
      <c r="U76" s="429">
        <v>0.39969830928520905</v>
      </c>
      <c r="V76" s="429">
        <v>0.0125</v>
      </c>
      <c r="AA76" t="s">
        <v>283</v>
      </c>
    </row>
    <row r="77" spans="1:27" ht="12.75">
      <c r="A77" s="5" t="str">
        <f>+'Input Data'!I49</f>
        <v>VP_HF_Clean</v>
      </c>
      <c r="B77" s="52"/>
      <c r="E77">
        <v>15000</v>
      </c>
      <c r="G77" s="234"/>
      <c r="H77" s="232">
        <v>198</v>
      </c>
      <c r="I77" s="232" t="s">
        <v>25</v>
      </c>
      <c r="J77" s="232" t="s">
        <v>267</v>
      </c>
      <c r="K77" s="232"/>
      <c r="L77" s="232">
        <v>80</v>
      </c>
      <c r="M77" s="232">
        <v>0</v>
      </c>
      <c r="N77" s="232"/>
      <c r="O77" s="232">
        <v>1.557967836</v>
      </c>
      <c r="P77" s="429"/>
      <c r="Q77" s="429">
        <v>0</v>
      </c>
      <c r="R77" s="429">
        <v>0</v>
      </c>
      <c r="S77" s="429">
        <v>0</v>
      </c>
      <c r="T77" s="429">
        <v>0.35</v>
      </c>
      <c r="U77" s="429">
        <v>0.39969830928520905</v>
      </c>
      <c r="V77" s="429">
        <v>0.0125</v>
      </c>
      <c r="AA77" t="s">
        <v>52</v>
      </c>
    </row>
    <row r="78" spans="1:27" ht="12.75">
      <c r="A78" s="5" t="str">
        <f>+'Input Data'!I50</f>
        <v>Wet_Bench</v>
      </c>
      <c r="B78" s="52"/>
      <c r="E78">
        <v>25000</v>
      </c>
      <c r="G78" s="234"/>
      <c r="H78" s="232">
        <v>207</v>
      </c>
      <c r="I78" s="232" t="s">
        <v>25</v>
      </c>
      <c r="J78" s="232" t="s">
        <v>267</v>
      </c>
      <c r="K78" s="232"/>
      <c r="L78" s="232">
        <v>80</v>
      </c>
      <c r="M78" s="232">
        <v>0</v>
      </c>
      <c r="N78" s="232"/>
      <c r="O78" s="232">
        <v>1.557967836</v>
      </c>
      <c r="P78" s="429"/>
      <c r="Q78" s="429">
        <v>0</v>
      </c>
      <c r="R78" s="429">
        <v>0</v>
      </c>
      <c r="S78" s="429">
        <v>0</v>
      </c>
      <c r="T78" s="429">
        <v>0.35</v>
      </c>
      <c r="U78" s="429">
        <v>0.39969830928520905</v>
      </c>
      <c r="V78" s="429">
        <v>0.0125</v>
      </c>
      <c r="AA78" t="s">
        <v>284</v>
      </c>
    </row>
    <row r="79" spans="1:27" ht="12.75">
      <c r="A79" s="228" t="str">
        <f>+'Input Data'!I51</f>
        <v>Wet_Bench(I)</v>
      </c>
      <c r="B79" s="63"/>
      <c r="G79" s="234"/>
      <c r="H79" s="232">
        <v>216</v>
      </c>
      <c r="I79" s="232" t="s">
        <v>25</v>
      </c>
      <c r="J79" s="232" t="s">
        <v>267</v>
      </c>
      <c r="K79" s="232"/>
      <c r="L79" s="232">
        <v>80</v>
      </c>
      <c r="M79" s="232">
        <v>0</v>
      </c>
      <c r="N79" s="232"/>
      <c r="O79" s="232">
        <v>1.557967836</v>
      </c>
      <c r="P79" s="429"/>
      <c r="Q79" s="429">
        <v>0</v>
      </c>
      <c r="R79" s="429">
        <v>0</v>
      </c>
      <c r="S79" s="429">
        <v>0</v>
      </c>
      <c r="T79" s="429">
        <v>0.35</v>
      </c>
      <c r="U79" s="429">
        <v>0.39969830928520905</v>
      </c>
      <c r="V79" s="429">
        <v>0.0125</v>
      </c>
      <c r="AA79" t="s">
        <v>45</v>
      </c>
    </row>
    <row r="80" spans="7:27" ht="12.75">
      <c r="G80" s="234"/>
      <c r="H80" s="232">
        <v>225</v>
      </c>
      <c r="I80" s="232" t="s">
        <v>25</v>
      </c>
      <c r="J80" s="232" t="s">
        <v>267</v>
      </c>
      <c r="K80" s="232"/>
      <c r="L80" s="232">
        <v>80</v>
      </c>
      <c r="M80" s="232">
        <v>0</v>
      </c>
      <c r="N80" s="232"/>
      <c r="O80" s="232">
        <v>1.557967836</v>
      </c>
      <c r="P80" s="429"/>
      <c r="Q80" s="429">
        <v>0</v>
      </c>
      <c r="R80" s="429">
        <v>0</v>
      </c>
      <c r="S80" s="429">
        <v>0</v>
      </c>
      <c r="T80" s="429">
        <v>0.35</v>
      </c>
      <c r="U80" s="429">
        <v>0.39969830928520905</v>
      </c>
      <c r="V80" s="429">
        <v>0.0125</v>
      </c>
      <c r="AA80" t="s">
        <v>285</v>
      </c>
    </row>
    <row r="81" spans="7:27" ht="12.75">
      <c r="G81" s="234"/>
      <c r="H81" s="232">
        <v>234</v>
      </c>
      <c r="I81" s="232" t="s">
        <v>25</v>
      </c>
      <c r="J81" s="232" t="s">
        <v>267</v>
      </c>
      <c r="K81" s="232"/>
      <c r="L81" s="232">
        <v>80</v>
      </c>
      <c r="M81" s="232">
        <v>0</v>
      </c>
      <c r="N81" s="232"/>
      <c r="O81" s="232">
        <v>1.557967836</v>
      </c>
      <c r="P81" s="429"/>
      <c r="Q81" s="429">
        <v>0</v>
      </c>
      <c r="R81" s="429">
        <v>0</v>
      </c>
      <c r="S81" s="429">
        <v>0</v>
      </c>
      <c r="T81" s="429">
        <v>0.35</v>
      </c>
      <c r="U81" s="429">
        <v>0.39969830928520905</v>
      </c>
      <c r="V81" s="429">
        <v>0.0125</v>
      </c>
      <c r="AA81" t="s">
        <v>285</v>
      </c>
    </row>
    <row r="82" spans="1:27" ht="12.75">
      <c r="A82" s="94"/>
      <c r="B82" s="94"/>
      <c r="C82" s="94"/>
      <c r="H82" s="232">
        <v>243</v>
      </c>
      <c r="I82" s="232" t="s">
        <v>25</v>
      </c>
      <c r="J82" s="232" t="s">
        <v>267</v>
      </c>
      <c r="K82" s="232"/>
      <c r="L82" s="232">
        <v>80</v>
      </c>
      <c r="M82" s="232">
        <v>0</v>
      </c>
      <c r="N82" s="232"/>
      <c r="O82" s="232">
        <v>1.557967836</v>
      </c>
      <c r="P82" s="429"/>
      <c r="Q82" s="429">
        <v>0</v>
      </c>
      <c r="R82" s="429">
        <v>0</v>
      </c>
      <c r="S82" s="429">
        <v>0</v>
      </c>
      <c r="T82" s="429">
        <v>0.35</v>
      </c>
      <c r="U82" s="429">
        <v>0.39969830928520905</v>
      </c>
      <c r="V82" s="429">
        <v>0.0125</v>
      </c>
      <c r="AA82" t="s">
        <v>47</v>
      </c>
    </row>
    <row r="83" spans="1:27" ht="12.75">
      <c r="A83" s="94"/>
      <c r="B83" s="94"/>
      <c r="C83" s="94"/>
      <c r="H83" s="232">
        <v>256</v>
      </c>
      <c r="I83" s="232" t="s">
        <v>25</v>
      </c>
      <c r="J83" s="232" t="s">
        <v>267</v>
      </c>
      <c r="K83" s="232"/>
      <c r="L83" s="232">
        <v>80</v>
      </c>
      <c r="M83" s="232">
        <v>0</v>
      </c>
      <c r="N83" s="232"/>
      <c r="O83" s="232">
        <v>1.557967836</v>
      </c>
      <c r="P83" s="429"/>
      <c r="Q83" s="429">
        <v>0</v>
      </c>
      <c r="R83" s="429">
        <v>0</v>
      </c>
      <c r="S83" s="429">
        <v>0</v>
      </c>
      <c r="T83" s="429">
        <v>0.35</v>
      </c>
      <c r="U83" s="429">
        <v>0.39901409095704865</v>
      </c>
      <c r="V83" s="429">
        <v>0.0125</v>
      </c>
      <c r="AA83" t="s">
        <v>265</v>
      </c>
    </row>
    <row r="84" spans="1:27" ht="12.75">
      <c r="A84" s="94"/>
      <c r="B84" s="94"/>
      <c r="C84" s="94"/>
      <c r="H84" s="232">
        <v>2</v>
      </c>
      <c r="I84" s="232" t="s">
        <v>26</v>
      </c>
      <c r="J84" s="232" t="str">
        <f>+'Input Data'!I29</f>
        <v>Furn_FastRmp</v>
      </c>
      <c r="K84" s="232"/>
      <c r="L84" s="232">
        <v>50</v>
      </c>
      <c r="M84" s="414">
        <v>0.6</v>
      </c>
      <c r="N84" s="423"/>
      <c r="O84" s="232">
        <v>10.41560185</v>
      </c>
      <c r="P84" s="426"/>
      <c r="Q84" s="74">
        <f>+WS*LY^(($H84-1)/$B$24)*P84</f>
        <v>0</v>
      </c>
      <c r="R84" s="74">
        <f aca="true" t="shared" si="12" ref="R84:S87">+WS*LY^(($H84-1)/$B$24)*M84</f>
        <v>14999.224980099885</v>
      </c>
      <c r="S84" s="74">
        <f t="shared" si="12"/>
        <v>0</v>
      </c>
      <c r="T84" s="70">
        <f>+'Input Data'!$J$29</f>
        <v>0.5</v>
      </c>
      <c r="U84" s="74">
        <f>+WS*(LY^((+H84-1)/$B$24))*(1/L84)/(1-T84)/720</f>
        <v>1.3888171277870265</v>
      </c>
      <c r="V84" s="74">
        <f>1/L84</f>
        <v>0.02</v>
      </c>
      <c r="Y84" s="94" t="s">
        <v>276</v>
      </c>
      <c r="AA84" t="s">
        <v>278</v>
      </c>
    </row>
    <row r="85" spans="8:27" ht="12.75">
      <c r="H85" s="232">
        <v>16</v>
      </c>
      <c r="I85" s="232" t="s">
        <v>27</v>
      </c>
      <c r="J85" s="232" t="str">
        <f>+'Input Data'!I29</f>
        <v>Furn_FastRmp</v>
      </c>
      <c r="K85" s="232"/>
      <c r="L85" s="232">
        <v>50</v>
      </c>
      <c r="M85" s="414">
        <v>0.6</v>
      </c>
      <c r="N85" s="423"/>
      <c r="O85" s="232">
        <v>10.41560185</v>
      </c>
      <c r="P85" s="426"/>
      <c r="Q85" s="74">
        <f>+WS*LY^(($H85-1)/$B$24)*P85</f>
        <v>0</v>
      </c>
      <c r="R85" s="74">
        <f t="shared" si="12"/>
        <v>14988.378905147942</v>
      </c>
      <c r="S85" s="74">
        <f t="shared" si="12"/>
        <v>0</v>
      </c>
      <c r="T85" s="70">
        <f>+'Input Data'!$J$29</f>
        <v>0.5</v>
      </c>
      <c r="U85" s="74">
        <f>+WS*(LY^((+H85-1)/$B$24))*(1/L85)/(1-T85)/720</f>
        <v>1.3878128615877725</v>
      </c>
      <c r="V85" s="74">
        <f>1/L85</f>
        <v>0.02</v>
      </c>
      <c r="Y85" s="94" t="s">
        <v>277</v>
      </c>
      <c r="AA85" t="s">
        <v>279</v>
      </c>
    </row>
    <row r="86" spans="8:27" ht="12.75">
      <c r="H86" s="232">
        <v>20</v>
      </c>
      <c r="I86" s="232" t="s">
        <v>28</v>
      </c>
      <c r="J86" s="232" t="str">
        <f>+'Input Data'!I29</f>
        <v>Furn_FastRmp</v>
      </c>
      <c r="K86" s="232"/>
      <c r="L86" s="232">
        <v>50</v>
      </c>
      <c r="M86" s="414">
        <v>0.6</v>
      </c>
      <c r="N86" s="423"/>
      <c r="O86" s="232">
        <v>10.41560185</v>
      </c>
      <c r="P86" s="426"/>
      <c r="Q86" s="74">
        <f>+WS*LY^(($H86-1)/$B$24)*P86</f>
        <v>0</v>
      </c>
      <c r="R86" s="74">
        <f t="shared" si="12"/>
        <v>14985.281467370012</v>
      </c>
      <c r="S86" s="74">
        <f t="shared" si="12"/>
        <v>0</v>
      </c>
      <c r="T86" s="70">
        <f>+'Input Data'!$J$29</f>
        <v>0.5</v>
      </c>
      <c r="U86" s="74">
        <f>+WS*(LY^((+H86-1)/$B$24))*(1/L86)/(1-T86)/720</f>
        <v>1.3875260617935197</v>
      </c>
      <c r="V86" s="74">
        <f>1/L86</f>
        <v>0.02</v>
      </c>
      <c r="Y86" s="94" t="s">
        <v>278</v>
      </c>
      <c r="AA86" t="s">
        <v>280</v>
      </c>
    </row>
    <row r="87" spans="8:27" ht="12.75">
      <c r="H87" s="232">
        <v>25</v>
      </c>
      <c r="I87" s="232" t="s">
        <v>26</v>
      </c>
      <c r="J87" s="232" t="str">
        <f>+'Input Data'!I29</f>
        <v>Furn_FastRmp</v>
      </c>
      <c r="K87" s="232"/>
      <c r="L87" s="232">
        <v>50</v>
      </c>
      <c r="M87" s="414">
        <v>0.6</v>
      </c>
      <c r="N87" s="423"/>
      <c r="O87" s="232">
        <v>10.41560185</v>
      </c>
      <c r="P87" s="426"/>
      <c r="Q87" s="74">
        <f>+WS*LY^(($H87-1)/$B$24)*P87</f>
        <v>0</v>
      </c>
      <c r="R87" s="74">
        <f t="shared" si="12"/>
        <v>14981.410570278302</v>
      </c>
      <c r="S87" s="74">
        <f t="shared" si="12"/>
        <v>0</v>
      </c>
      <c r="T87" s="70">
        <f>+'Input Data'!$J$29</f>
        <v>0.5</v>
      </c>
      <c r="U87" s="74">
        <f>+WS*(LY^((+H87-1)/$B$24))*(1/L87)/(1-T87)/720</f>
        <v>1.387167645396139</v>
      </c>
      <c r="V87" s="74">
        <f>1/L87</f>
        <v>0.02</v>
      </c>
      <c r="Y87" s="94" t="s">
        <v>279</v>
      </c>
      <c r="AA87" t="s">
        <v>45</v>
      </c>
    </row>
    <row r="88" spans="8:27" ht="12.75">
      <c r="H88" s="232">
        <v>36</v>
      </c>
      <c r="I88" s="232" t="s">
        <v>29</v>
      </c>
      <c r="J88" s="232" t="str">
        <f>+'Input Data'!I29</f>
        <v>Furn_FastRmp</v>
      </c>
      <c r="K88" s="232"/>
      <c r="L88" s="232">
        <v>50</v>
      </c>
      <c r="M88" s="414">
        <v>0.6</v>
      </c>
      <c r="N88" s="423"/>
      <c r="O88" s="232">
        <v>10.41560185</v>
      </c>
      <c r="P88" s="426"/>
      <c r="Q88" s="74">
        <f>+WS*LY^(($H99-1)/$B$24)*P88</f>
        <v>0</v>
      </c>
      <c r="R88" s="74">
        <f>+WS*LY^(($H99-1)/$B$24)*M88</f>
        <v>14971.35091674635</v>
      </c>
      <c r="S88" s="74">
        <f>+WS*LY^(($H99-1)/$B$24)*N88</f>
        <v>0</v>
      </c>
      <c r="T88" s="70">
        <f>+'Input Data'!$J$29</f>
        <v>0.5</v>
      </c>
      <c r="U88" s="74">
        <f>+WS*(LY^((+H99-1)/$B$24))*(1/L88)/(1-T88)/720</f>
        <v>1.3862361959950327</v>
      </c>
      <c r="V88" s="74">
        <f>1/L88</f>
        <v>0.02</v>
      </c>
      <c r="Y88" s="94" t="s">
        <v>280</v>
      </c>
      <c r="AA88" t="s">
        <v>46</v>
      </c>
    </row>
    <row r="89" spans="8:27" ht="12.75">
      <c r="H89" s="232">
        <v>245</v>
      </c>
      <c r="I89" s="232" t="s">
        <v>29</v>
      </c>
      <c r="J89" s="232" t="s">
        <v>268</v>
      </c>
      <c r="K89" s="232"/>
      <c r="L89" s="232">
        <v>50</v>
      </c>
      <c r="M89" s="232">
        <v>0.6</v>
      </c>
      <c r="N89" s="232"/>
      <c r="O89" s="232">
        <v>10.41560185</v>
      </c>
      <c r="P89" s="429"/>
      <c r="Q89" s="429">
        <v>0</v>
      </c>
      <c r="R89" s="429">
        <v>8970.4939823582</v>
      </c>
      <c r="S89" s="429">
        <v>0</v>
      </c>
      <c r="T89" s="429">
        <v>0.5</v>
      </c>
      <c r="U89" s="429">
        <v>0.8306012946627964</v>
      </c>
      <c r="V89" s="429">
        <v>0.02</v>
      </c>
      <c r="AA89" t="s">
        <v>250</v>
      </c>
    </row>
    <row r="90" spans="8:27" ht="12.75">
      <c r="H90" s="232">
        <v>4</v>
      </c>
      <c r="I90" s="232" t="s">
        <v>30</v>
      </c>
      <c r="J90" s="232" t="str">
        <f>+'Input Data'!I30</f>
        <v>Furn_Nitr</v>
      </c>
      <c r="K90" s="232"/>
      <c r="L90" s="232">
        <v>30</v>
      </c>
      <c r="M90" s="414">
        <v>0.6</v>
      </c>
      <c r="N90" s="423"/>
      <c r="O90" s="232">
        <v>14.27951389</v>
      </c>
      <c r="P90" s="426"/>
      <c r="Q90" s="74">
        <f>+WS*LY^(($H90-1)/$B$24)*P90</f>
        <v>0</v>
      </c>
      <c r="R90" s="74">
        <f>+WS*LY^(($H90-1)/$B$24)*M90</f>
        <v>14997.675060428752</v>
      </c>
      <c r="S90" s="74">
        <f>+WS*LY^(($H90-1)/$B$24)*N90</f>
        <v>0</v>
      </c>
      <c r="T90" s="70">
        <f>+'Input Data'!$J$30</f>
        <v>0.5</v>
      </c>
      <c r="U90" s="74">
        <f>+WS*(LY^((+H90-1)/$B$24))*(1/L90)/(1-T90)/720</f>
        <v>2.314456027843943</v>
      </c>
      <c r="V90" s="74">
        <f>1/L90</f>
        <v>0.03333333333333333</v>
      </c>
      <c r="Y90" s="94" t="s">
        <v>45</v>
      </c>
      <c r="AA90" t="s">
        <v>47</v>
      </c>
    </row>
    <row r="91" spans="8:27" ht="12.75">
      <c r="H91" s="232">
        <v>72</v>
      </c>
      <c r="I91" s="232" t="s">
        <v>28</v>
      </c>
      <c r="J91" s="232" t="str">
        <f>+'Input Data'!I31</f>
        <v>Furn_OxAn</v>
      </c>
      <c r="K91" s="232"/>
      <c r="L91" s="232">
        <v>50</v>
      </c>
      <c r="M91" s="414">
        <v>0.5</v>
      </c>
      <c r="N91" s="423"/>
      <c r="O91" s="232">
        <v>3.174791667</v>
      </c>
      <c r="P91" s="426"/>
      <c r="Q91" s="74">
        <f>+WS*LY^(($H136-1)/$B$24)*P91</f>
        <v>0</v>
      </c>
      <c r="R91" s="74">
        <f>+WS*LY^(($H136-1)/$B$24)*M91</f>
        <v>12385.562798968618</v>
      </c>
      <c r="S91" s="74">
        <f>+WS*LY^(($H136-1)/$B$24)*N91</f>
        <v>0</v>
      </c>
      <c r="T91" s="70">
        <f>+'Input Data'!$J$31</f>
        <v>0.5</v>
      </c>
      <c r="U91" s="74">
        <f>+WS*(LY^((+H136-1)/$B$24))*(1/L91)/(1-T91)/720</f>
        <v>1.3761736443298465</v>
      </c>
      <c r="V91" s="74">
        <f>1/L91</f>
        <v>0.02</v>
      </c>
      <c r="Y91" s="94" t="s">
        <v>46</v>
      </c>
      <c r="AA91" t="s">
        <v>282</v>
      </c>
    </row>
    <row r="92" spans="8:27" ht="12.75">
      <c r="H92" s="232">
        <v>100</v>
      </c>
      <c r="I92" s="232" t="s">
        <v>31</v>
      </c>
      <c r="J92" s="232" t="str">
        <f>+'Input Data'!I31</f>
        <v>Furn_OxAn</v>
      </c>
      <c r="K92" s="232"/>
      <c r="L92" s="232">
        <v>35</v>
      </c>
      <c r="M92" s="414">
        <v>0.5</v>
      </c>
      <c r="N92" s="423"/>
      <c r="O92" s="232">
        <v>3.174791667</v>
      </c>
      <c r="P92" s="426"/>
      <c r="Q92" s="74">
        <f>+WS*LY^(($H250-1)/$B$24)*P92</f>
        <v>0</v>
      </c>
      <c r="R92" s="74">
        <f>+WS*LY^(($H250-1)/$B$24)*M92</f>
        <v>12381.723671841166</v>
      </c>
      <c r="S92" s="74">
        <f>+WS*LY^(($H250-1)/$B$24)*N92</f>
        <v>0</v>
      </c>
      <c r="T92" s="70">
        <f>+'Input Data'!$J$31</f>
        <v>0.5</v>
      </c>
      <c r="U92" s="74">
        <f>+WS*(LY^((+H250-1)/$B$24))*(1/L92)/(1-T92)/720</f>
        <v>1.9653529637843121</v>
      </c>
      <c r="V92" s="74">
        <f>1/L92</f>
        <v>0.02857142857142857</v>
      </c>
      <c r="Y92" s="94" t="s">
        <v>47</v>
      </c>
      <c r="AA92" t="s">
        <v>281</v>
      </c>
    </row>
    <row r="93" spans="8:27" ht="12.75">
      <c r="H93" s="232">
        <v>124</v>
      </c>
      <c r="I93" s="232" t="s">
        <v>31</v>
      </c>
      <c r="J93" s="232" t="str">
        <f>+'Input Data'!I31</f>
        <v>Furn_OxAn</v>
      </c>
      <c r="K93" s="232"/>
      <c r="L93" s="232">
        <v>35</v>
      </c>
      <c r="M93" s="414">
        <v>0.5</v>
      </c>
      <c r="N93" s="423"/>
      <c r="O93" s="232">
        <v>3.174791667</v>
      </c>
      <c r="P93" s="426"/>
      <c r="Q93" s="74">
        <f>+WS*LY^(($H251-1)/$B$24)*P93</f>
        <v>0</v>
      </c>
      <c r="R93" s="74">
        <f>+WS*LY^(($H251-1)/$B$24)*M93</f>
        <v>12375.967212296426</v>
      </c>
      <c r="S93" s="74">
        <f>+WS*LY^(($H251-1)/$B$24)*N93</f>
        <v>0</v>
      </c>
      <c r="T93" s="70">
        <f>+'Input Data'!$J$31</f>
        <v>0.5</v>
      </c>
      <c r="U93" s="74">
        <f>+WS*(LY^((+H251-1)/$B$24))*(1/L93)/(1-T93)/720</f>
        <v>1.9644392400470518</v>
      </c>
      <c r="V93" s="74">
        <f>1/L93</f>
        <v>0.02857142857142857</v>
      </c>
      <c r="Y93" s="94" t="s">
        <v>282</v>
      </c>
      <c r="AA93" t="s">
        <v>283</v>
      </c>
    </row>
    <row r="94" spans="8:27" ht="12.75">
      <c r="H94" s="232">
        <v>275</v>
      </c>
      <c r="I94" s="232" t="s">
        <v>31</v>
      </c>
      <c r="J94" s="232" t="s">
        <v>271</v>
      </c>
      <c r="K94" s="232"/>
      <c r="L94" s="232">
        <v>35</v>
      </c>
      <c r="M94" s="232">
        <v>0.5</v>
      </c>
      <c r="N94" s="232"/>
      <c r="O94" s="232">
        <v>3.174791667</v>
      </c>
      <c r="P94" s="429"/>
      <c r="Q94" s="429">
        <v>0</v>
      </c>
      <c r="R94" s="429">
        <v>7423.296254888655</v>
      </c>
      <c r="S94" s="429">
        <v>0</v>
      </c>
      <c r="T94" s="429">
        <v>0.5</v>
      </c>
      <c r="U94" s="429">
        <v>1.178300992839469</v>
      </c>
      <c r="V94" s="429">
        <v>0.02857142857142857</v>
      </c>
      <c r="AA94" t="s">
        <v>274</v>
      </c>
    </row>
    <row r="95" spans="8:27" ht="12.75">
      <c r="H95" s="232">
        <v>308</v>
      </c>
      <c r="I95" s="232" t="s">
        <v>31</v>
      </c>
      <c r="J95" s="232" t="s">
        <v>271</v>
      </c>
      <c r="K95" s="232"/>
      <c r="L95" s="232">
        <v>35</v>
      </c>
      <c r="M95" s="414">
        <v>0.5</v>
      </c>
      <c r="N95" s="423"/>
      <c r="O95" s="232">
        <v>3.174791667</v>
      </c>
      <c r="P95" s="426"/>
      <c r="Q95" s="426">
        <v>0</v>
      </c>
      <c r="R95" s="426">
        <v>7423.296254888655</v>
      </c>
      <c r="S95" s="426">
        <v>0</v>
      </c>
      <c r="T95" s="429">
        <v>0.5</v>
      </c>
      <c r="U95" s="426">
        <v>1.178300992839469</v>
      </c>
      <c r="V95" s="426">
        <v>0.02857142857142857</v>
      </c>
      <c r="AA95" t="s">
        <v>275</v>
      </c>
    </row>
    <row r="96" spans="8:27" ht="12.75">
      <c r="H96" s="232">
        <v>341</v>
      </c>
      <c r="I96" s="232" t="s">
        <v>31</v>
      </c>
      <c r="J96" s="232" t="s">
        <v>271</v>
      </c>
      <c r="K96" s="232"/>
      <c r="L96" s="232">
        <v>35</v>
      </c>
      <c r="M96" s="232">
        <v>0.5</v>
      </c>
      <c r="N96" s="232"/>
      <c r="O96" s="232">
        <v>3.174791667</v>
      </c>
      <c r="P96" s="429"/>
      <c r="Q96" s="429">
        <v>0</v>
      </c>
      <c r="R96" s="429">
        <v>7423.296254888655</v>
      </c>
      <c r="S96" s="429">
        <v>0</v>
      </c>
      <c r="T96" s="429">
        <v>0.5</v>
      </c>
      <c r="U96" s="429">
        <v>1.178300992839469</v>
      </c>
      <c r="V96" s="429">
        <v>0.02857142857142857</v>
      </c>
      <c r="AA96" t="s">
        <v>276</v>
      </c>
    </row>
    <row r="97" spans="8:27" ht="12.75">
      <c r="H97" s="232">
        <v>374</v>
      </c>
      <c r="I97" s="232" t="s">
        <v>31</v>
      </c>
      <c r="J97" s="232" t="s">
        <v>271</v>
      </c>
      <c r="K97" s="232"/>
      <c r="L97" s="232">
        <v>35</v>
      </c>
      <c r="M97" s="232">
        <v>0.5</v>
      </c>
      <c r="N97" s="232"/>
      <c r="O97" s="232">
        <v>3.174791667</v>
      </c>
      <c r="P97" s="429"/>
      <c r="Q97" s="429">
        <v>0</v>
      </c>
      <c r="R97" s="429">
        <v>7423.296254888655</v>
      </c>
      <c r="S97" s="429">
        <v>0</v>
      </c>
      <c r="T97" s="429">
        <v>0.5</v>
      </c>
      <c r="U97" s="429">
        <v>1.178300992839469</v>
      </c>
      <c r="V97" s="429">
        <v>0.02857142857142857</v>
      </c>
      <c r="AA97" t="s">
        <v>277</v>
      </c>
    </row>
    <row r="98" spans="8:27" ht="12.75">
      <c r="H98" s="232">
        <v>57</v>
      </c>
      <c r="I98" s="232" t="s">
        <v>32</v>
      </c>
      <c r="J98" s="232" t="str">
        <f>+'Input Data'!I32</f>
        <v>Furn_OxAn(I)</v>
      </c>
      <c r="K98" s="232"/>
      <c r="L98" s="232">
        <v>35</v>
      </c>
      <c r="M98" s="414">
        <v>0.5</v>
      </c>
      <c r="N98" s="423"/>
      <c r="O98" s="232">
        <v>3.174791667</v>
      </c>
      <c r="P98" s="426"/>
      <c r="Q98" s="74">
        <f>+WS*LY^(($H143-1)/$B$24)*P98</f>
        <v>0</v>
      </c>
      <c r="R98" s="74">
        <f>+WS*LY^(($H143-1)/$B$24)*M98</f>
        <v>12345.311263597141</v>
      </c>
      <c r="S98" s="74">
        <f>+WS*LY^(($H143-1)/$B$24)*N98</f>
        <v>0</v>
      </c>
      <c r="T98" s="70">
        <f>+'Input Data'!$J$32</f>
        <v>0.5</v>
      </c>
      <c r="U98" s="74">
        <f>+WS*(LY^((+H143-1)/$B$24))*(1/L98)/(1-T98)/720</f>
        <v>1.9595732164439905</v>
      </c>
      <c r="V98" s="74">
        <f>1/L98</f>
        <v>0.02857142857142857</v>
      </c>
      <c r="Y98" s="94" t="s">
        <v>281</v>
      </c>
      <c r="AA98" t="s">
        <v>52</v>
      </c>
    </row>
    <row r="99" spans="8:27" ht="12.75">
      <c r="H99" s="232">
        <v>38</v>
      </c>
      <c r="I99" s="232" t="s">
        <v>33</v>
      </c>
      <c r="J99" s="232" t="str">
        <f>+'Input Data'!I33</f>
        <v>Furn_Poly</v>
      </c>
      <c r="K99" s="232"/>
      <c r="L99" s="232">
        <v>30</v>
      </c>
      <c r="M99" s="414">
        <v>0.6</v>
      </c>
      <c r="N99" s="423"/>
      <c r="O99" s="232">
        <v>3.174791667</v>
      </c>
      <c r="P99" s="426"/>
      <c r="Q99" s="74">
        <f>+WS*LY^(($H110-1)/$B$24)*P99</f>
        <v>0</v>
      </c>
      <c r="R99" s="74">
        <f>+WS*LY^(($H110-1)/$B$24)*M99</f>
        <v>14878.042186345652</v>
      </c>
      <c r="S99" s="74">
        <f>+WS*LY^(($H110-1)/$B$24)*N99</f>
        <v>0</v>
      </c>
      <c r="T99" s="70">
        <f>+'Input Data'!$J$33</f>
        <v>0.5</v>
      </c>
      <c r="U99" s="74">
        <f>+WS*(LY^((+H110-1)/$B$24))*(1/L99)/(1-T99)/720</f>
        <v>2.2959941645595143</v>
      </c>
      <c r="V99" s="74">
        <f>1/L99</f>
        <v>0.03333333333333333</v>
      </c>
      <c r="Y99" s="94" t="s">
        <v>283</v>
      </c>
      <c r="AA99" t="s">
        <v>284</v>
      </c>
    </row>
    <row r="100" spans="8:27" ht="12.75">
      <c r="H100" s="232">
        <v>247</v>
      </c>
      <c r="I100" s="232" t="s">
        <v>33</v>
      </c>
      <c r="J100" s="232" t="s">
        <v>272</v>
      </c>
      <c r="K100" s="232"/>
      <c r="L100" s="232">
        <v>30</v>
      </c>
      <c r="M100" s="232">
        <v>0.6</v>
      </c>
      <c r="N100" s="232"/>
      <c r="O100" s="232">
        <v>3.174791667</v>
      </c>
      <c r="P100" s="429"/>
      <c r="Q100" s="429">
        <v>0</v>
      </c>
      <c r="R100" s="429">
        <v>8969.213308665103</v>
      </c>
      <c r="S100" s="429">
        <v>0</v>
      </c>
      <c r="T100" s="429">
        <v>0.5</v>
      </c>
      <c r="U100" s="429">
        <v>1.3841378562754787</v>
      </c>
      <c r="V100" s="429">
        <v>0.03333333333333333</v>
      </c>
      <c r="AA100" t="s">
        <v>46</v>
      </c>
    </row>
    <row r="101" spans="8:27" ht="12.75">
      <c r="H101" s="232">
        <v>52</v>
      </c>
      <c r="I101" s="232" t="s">
        <v>34</v>
      </c>
      <c r="J101" s="232" t="str">
        <f>+'Input Data'!I34</f>
        <v>Furn_TEOS</v>
      </c>
      <c r="K101" s="232"/>
      <c r="L101" s="232">
        <v>30</v>
      </c>
      <c r="M101" s="414">
        <v>0.6</v>
      </c>
      <c r="N101" s="423"/>
      <c r="O101" s="232">
        <v>3.174791667</v>
      </c>
      <c r="P101" s="426"/>
      <c r="Q101" s="74">
        <f>+WS*LY^(($H146-1)/$B$24)*P101</f>
        <v>0</v>
      </c>
      <c r="R101" s="74">
        <f>+WS*LY^(($H146-1)/$B$24)*M101</f>
        <v>14978.31457254828</v>
      </c>
      <c r="S101" s="74">
        <f>+WS*LY^(($H146-1)/$B$24)*N101</f>
        <v>0</v>
      </c>
      <c r="T101" s="70">
        <f>+'Input Data'!$J$34</f>
        <v>0.5</v>
      </c>
      <c r="U101" s="74">
        <f>+WS*(LY^((+H146-1)/$B$24))*(1/L101)/(1-T101)/720</f>
        <v>2.3114682982327595</v>
      </c>
      <c r="V101" s="74">
        <f>1/L101</f>
        <v>0.03333333333333333</v>
      </c>
      <c r="Y101" s="94" t="s">
        <v>52</v>
      </c>
      <c r="AA101" t="s">
        <v>286</v>
      </c>
    </row>
    <row r="102" spans="7:27" ht="12.75">
      <c r="G102" s="234"/>
      <c r="H102" s="232">
        <v>31</v>
      </c>
      <c r="I102" s="232" t="s">
        <v>35</v>
      </c>
      <c r="J102" s="232" t="str">
        <f>+'Input Data'!I35</f>
        <v>Implant_HiE</v>
      </c>
      <c r="K102" s="232"/>
      <c r="L102" s="232">
        <v>200</v>
      </c>
      <c r="M102" s="414">
        <v>0.3</v>
      </c>
      <c r="N102" s="423"/>
      <c r="O102" s="232">
        <v>2.942098765</v>
      </c>
      <c r="P102" s="426"/>
      <c r="Q102" s="74">
        <f>+WS*LY^(($H102-1)/$B$24)*P102</f>
        <v>0</v>
      </c>
      <c r="R102" s="74">
        <f>+WS*LY^(($H102-1)/$B$24)*M102</f>
        <v>7488.383406809462</v>
      </c>
      <c r="S102" s="74">
        <f>+WS*LY^(($H102-1)/$B$24)*N102</f>
        <v>0</v>
      </c>
      <c r="T102" s="70">
        <f>+'Input Data'!$J$35</f>
        <v>0.63</v>
      </c>
      <c r="U102" s="74">
        <f>+WS*(LY^((+H102-1)/$B$24))*(1/L102)/(1-T102)/720</f>
        <v>0.4684924553809724</v>
      </c>
      <c r="V102" s="74">
        <f>1/L102</f>
        <v>0.005</v>
      </c>
      <c r="Y102" s="94" t="s">
        <v>284</v>
      </c>
      <c r="AA102" t="s">
        <v>285</v>
      </c>
    </row>
    <row r="103" spans="7:25" ht="12.75">
      <c r="G103" s="234"/>
      <c r="H103" s="232">
        <v>32</v>
      </c>
      <c r="I103" s="232" t="s">
        <v>35</v>
      </c>
      <c r="J103" s="232" t="str">
        <f>+'Input Data'!I35</f>
        <v>Implant_HiE</v>
      </c>
      <c r="K103" s="232"/>
      <c r="L103" s="232">
        <v>200</v>
      </c>
      <c r="M103" s="414">
        <v>0.3</v>
      </c>
      <c r="N103" s="423"/>
      <c r="O103" s="232">
        <v>2.942098765</v>
      </c>
      <c r="P103" s="426"/>
      <c r="Q103" s="74">
        <f>+WS*LY^(($H103-1)/$B$24)*P103</f>
        <v>0</v>
      </c>
      <c r="R103" s="74">
        <f>+WS*LY^(($H103-1)/$B$24)*M103</f>
        <v>7487.996497065463</v>
      </c>
      <c r="S103" s="74">
        <f>+WS*LY^(($H103-1)/$B$24)*N103</f>
        <v>0</v>
      </c>
      <c r="T103" s="70">
        <f>+'Input Data'!$J$35</f>
        <v>0.63</v>
      </c>
      <c r="U103" s="74">
        <f>+WS*(LY^((+H103-1)/$B$24))*(1/L103)/(1-T103)/720</f>
        <v>0.4684682493159074</v>
      </c>
      <c r="V103" s="74">
        <f>1/L103</f>
        <v>0.005</v>
      </c>
      <c r="Y103" s="94" t="s">
        <v>286</v>
      </c>
    </row>
    <row r="104" spans="7:22" ht="12.75">
      <c r="G104" s="234"/>
      <c r="H104" s="232">
        <v>132</v>
      </c>
      <c r="I104" s="232" t="s">
        <v>35</v>
      </c>
      <c r="J104" s="232" t="s">
        <v>274</v>
      </c>
      <c r="K104" s="232"/>
      <c r="L104" s="232">
        <v>200</v>
      </c>
      <c r="M104" s="232">
        <v>0.3</v>
      </c>
      <c r="N104" s="232"/>
      <c r="O104" s="232">
        <v>2.942098765</v>
      </c>
      <c r="P104" s="429"/>
      <c r="Q104" s="429">
        <v>0</v>
      </c>
      <c r="R104" s="429">
        <v>4490.372978557974</v>
      </c>
      <c r="S104" s="429">
        <v>0</v>
      </c>
      <c r="T104" s="429">
        <v>0.63</v>
      </c>
      <c r="U104" s="429">
        <v>0.2809292404002737</v>
      </c>
      <c r="V104" s="429">
        <v>0.005</v>
      </c>
    </row>
    <row r="105" spans="7:27" ht="12.75">
      <c r="G105" s="234"/>
      <c r="H105" s="232">
        <v>133</v>
      </c>
      <c r="I105" s="232" t="s">
        <v>35</v>
      </c>
      <c r="J105" s="232" t="s">
        <v>274</v>
      </c>
      <c r="K105" s="232"/>
      <c r="L105" s="232">
        <v>200</v>
      </c>
      <c r="M105" s="232">
        <v>0.3</v>
      </c>
      <c r="N105" s="232"/>
      <c r="O105" s="232">
        <v>2.942098765</v>
      </c>
      <c r="P105" s="429"/>
      <c r="Q105" s="429">
        <v>0</v>
      </c>
      <c r="R105" s="429">
        <v>4490.052432787488</v>
      </c>
      <c r="S105" s="429">
        <v>0</v>
      </c>
      <c r="T105" s="429">
        <v>0.63</v>
      </c>
      <c r="U105" s="429">
        <v>0.28090918623545347</v>
      </c>
      <c r="V105" s="429">
        <v>0.005</v>
      </c>
      <c r="AA105" t="s">
        <v>46</v>
      </c>
    </row>
    <row r="106" spans="7:22" ht="12.75">
      <c r="G106" s="234"/>
      <c r="H106" s="232">
        <v>141</v>
      </c>
      <c r="I106" s="232" t="s">
        <v>35</v>
      </c>
      <c r="J106" s="232" t="s">
        <v>274</v>
      </c>
      <c r="K106" s="232"/>
      <c r="L106" s="232">
        <v>200</v>
      </c>
      <c r="M106" s="232">
        <v>0.3</v>
      </c>
      <c r="N106" s="232"/>
      <c r="O106" s="232">
        <v>2.942098765</v>
      </c>
      <c r="P106" s="429"/>
      <c r="Q106" s="429">
        <v>0</v>
      </c>
      <c r="R106" s="429">
        <v>4490.372978557974</v>
      </c>
      <c r="S106" s="429">
        <v>0</v>
      </c>
      <c r="T106" s="429">
        <v>0.63</v>
      </c>
      <c r="U106" s="429">
        <v>0.2809292404002737</v>
      </c>
      <c r="V106" s="429">
        <v>0.005</v>
      </c>
    </row>
    <row r="107" spans="7:27" ht="12.75">
      <c r="G107" s="234"/>
      <c r="H107" s="232">
        <v>142</v>
      </c>
      <c r="I107" s="232" t="s">
        <v>35</v>
      </c>
      <c r="J107" s="232" t="s">
        <v>274</v>
      </c>
      <c r="K107" s="232"/>
      <c r="L107" s="232">
        <v>200</v>
      </c>
      <c r="M107" s="232">
        <v>0.3</v>
      </c>
      <c r="N107" s="232"/>
      <c r="O107" s="232">
        <v>2.942098765</v>
      </c>
      <c r="P107" s="429"/>
      <c r="Q107" s="429">
        <v>0</v>
      </c>
      <c r="R107" s="429">
        <v>4490.052432787488</v>
      </c>
      <c r="S107" s="429">
        <v>0</v>
      </c>
      <c r="T107" s="429">
        <v>0.63</v>
      </c>
      <c r="U107" s="429">
        <v>0.28090918623545347</v>
      </c>
      <c r="V107" s="429">
        <v>0.005</v>
      </c>
      <c r="AA107" t="s">
        <v>265</v>
      </c>
    </row>
    <row r="108" spans="7:22" ht="12.75">
      <c r="G108" s="234"/>
      <c r="H108" s="232">
        <v>150</v>
      </c>
      <c r="I108" s="232" t="s">
        <v>35</v>
      </c>
      <c r="J108" s="232" t="s">
        <v>274</v>
      </c>
      <c r="K108" s="232"/>
      <c r="L108" s="232">
        <v>200</v>
      </c>
      <c r="M108" s="232">
        <v>0.3</v>
      </c>
      <c r="N108" s="232"/>
      <c r="O108" s="232">
        <v>2.942098765</v>
      </c>
      <c r="P108" s="429"/>
      <c r="Q108" s="429">
        <v>0</v>
      </c>
      <c r="R108" s="429">
        <v>4490.372978557974</v>
      </c>
      <c r="S108" s="429">
        <v>0</v>
      </c>
      <c r="T108" s="429">
        <v>0.63</v>
      </c>
      <c r="U108" s="429">
        <v>0.2809292404002737</v>
      </c>
      <c r="V108" s="429">
        <v>0.005</v>
      </c>
    </row>
    <row r="109" spans="7:27" ht="12.75">
      <c r="G109" s="234"/>
      <c r="H109" s="232">
        <v>151</v>
      </c>
      <c r="I109" s="232" t="s">
        <v>35</v>
      </c>
      <c r="J109" s="232" t="s">
        <v>274</v>
      </c>
      <c r="K109" s="232"/>
      <c r="L109" s="232">
        <v>200</v>
      </c>
      <c r="M109" s="232">
        <v>0.3</v>
      </c>
      <c r="N109" s="232"/>
      <c r="O109" s="232">
        <v>2.942098765</v>
      </c>
      <c r="P109" s="429"/>
      <c r="Q109" s="429">
        <v>0</v>
      </c>
      <c r="R109" s="429">
        <v>4490.052432787488</v>
      </c>
      <c r="S109" s="429">
        <v>0</v>
      </c>
      <c r="T109" s="429">
        <v>0.63</v>
      </c>
      <c r="U109" s="429">
        <v>0.28090918623545347</v>
      </c>
      <c r="V109" s="429">
        <v>0.005</v>
      </c>
      <c r="AA109" t="s">
        <v>276</v>
      </c>
    </row>
    <row r="110" spans="7:22" ht="12.75">
      <c r="G110" s="234"/>
      <c r="H110" s="232">
        <v>159</v>
      </c>
      <c r="I110" s="232" t="s">
        <v>35</v>
      </c>
      <c r="J110" s="232" t="s">
        <v>274</v>
      </c>
      <c r="K110" s="232"/>
      <c r="L110" s="232">
        <v>200</v>
      </c>
      <c r="M110" s="232">
        <v>0.3</v>
      </c>
      <c r="N110" s="232"/>
      <c r="O110" s="232">
        <v>2.942098765</v>
      </c>
      <c r="P110" s="429"/>
      <c r="Q110" s="429">
        <v>0</v>
      </c>
      <c r="R110" s="429">
        <v>4490.372978557974</v>
      </c>
      <c r="S110" s="429">
        <v>0</v>
      </c>
      <c r="T110" s="429">
        <v>0.63</v>
      </c>
      <c r="U110" s="429">
        <v>0.2809292404002737</v>
      </c>
      <c r="V110" s="429">
        <v>0.005</v>
      </c>
    </row>
    <row r="111" spans="7:27" ht="12.75">
      <c r="G111" s="234"/>
      <c r="H111" s="232">
        <v>160</v>
      </c>
      <c r="I111" s="232" t="s">
        <v>35</v>
      </c>
      <c r="J111" s="232" t="s">
        <v>274</v>
      </c>
      <c r="K111" s="232"/>
      <c r="L111" s="232">
        <v>200</v>
      </c>
      <c r="M111" s="232">
        <v>0.3</v>
      </c>
      <c r="N111" s="232"/>
      <c r="O111" s="232">
        <v>2.942098765</v>
      </c>
      <c r="P111" s="429"/>
      <c r="Q111" s="429">
        <v>0</v>
      </c>
      <c r="R111" s="429">
        <v>4490.052432787488</v>
      </c>
      <c r="S111" s="429">
        <v>0</v>
      </c>
      <c r="T111" s="429">
        <v>0.63</v>
      </c>
      <c r="U111" s="429">
        <v>0.28090918623545347</v>
      </c>
      <c r="V111" s="429">
        <v>0.005</v>
      </c>
      <c r="AA111" t="s">
        <v>284</v>
      </c>
    </row>
    <row r="112" spans="7:22" ht="12.75">
      <c r="G112" s="234"/>
      <c r="H112" s="232">
        <v>168</v>
      </c>
      <c r="I112" s="232" t="s">
        <v>35</v>
      </c>
      <c r="J112" s="232" t="s">
        <v>274</v>
      </c>
      <c r="K112" s="232"/>
      <c r="L112" s="232">
        <v>200</v>
      </c>
      <c r="M112" s="232">
        <v>0.3</v>
      </c>
      <c r="N112" s="232"/>
      <c r="O112" s="232">
        <v>2.942098765</v>
      </c>
      <c r="P112" s="429"/>
      <c r="Q112" s="429">
        <v>0</v>
      </c>
      <c r="R112" s="429">
        <v>4490.372978557974</v>
      </c>
      <c r="S112" s="429">
        <v>0</v>
      </c>
      <c r="T112" s="429">
        <v>0.63</v>
      </c>
      <c r="U112" s="429">
        <v>0.2809292404002737</v>
      </c>
      <c r="V112" s="429">
        <v>0.005</v>
      </c>
    </row>
    <row r="113" spans="7:27" ht="12.75">
      <c r="G113" s="234"/>
      <c r="H113" s="232">
        <v>169</v>
      </c>
      <c r="I113" s="232" t="s">
        <v>35</v>
      </c>
      <c r="J113" s="232" t="s">
        <v>274</v>
      </c>
      <c r="K113" s="232"/>
      <c r="L113" s="232">
        <v>200</v>
      </c>
      <c r="M113" s="232">
        <v>0.3</v>
      </c>
      <c r="N113" s="232"/>
      <c r="O113" s="232">
        <v>2.942098765</v>
      </c>
      <c r="P113" s="429"/>
      <c r="Q113" s="429">
        <v>0</v>
      </c>
      <c r="R113" s="429">
        <v>4490.052432787488</v>
      </c>
      <c r="S113" s="429">
        <v>0</v>
      </c>
      <c r="T113" s="429">
        <v>0.63</v>
      </c>
      <c r="U113" s="429">
        <v>0.28090918623545347</v>
      </c>
      <c r="V113" s="429">
        <v>0.005</v>
      </c>
      <c r="AA113" t="s">
        <v>271</v>
      </c>
    </row>
    <row r="114" spans="7:27" ht="12.75">
      <c r="G114" s="234"/>
      <c r="H114" s="232">
        <v>177</v>
      </c>
      <c r="I114" s="232" t="s">
        <v>35</v>
      </c>
      <c r="J114" s="232" t="s">
        <v>274</v>
      </c>
      <c r="K114" s="232"/>
      <c r="L114" s="232">
        <v>200</v>
      </c>
      <c r="M114" s="232">
        <v>0.3</v>
      </c>
      <c r="N114" s="232"/>
      <c r="O114" s="232">
        <v>2.942098765</v>
      </c>
      <c r="P114" s="429"/>
      <c r="Q114" s="429">
        <v>0</v>
      </c>
      <c r="R114" s="429">
        <v>4490.372978557974</v>
      </c>
      <c r="S114" s="429">
        <v>0</v>
      </c>
      <c r="T114" s="429">
        <v>0.63</v>
      </c>
      <c r="U114" s="429">
        <v>0.2809292404002737</v>
      </c>
      <c r="V114" s="429">
        <v>0.005</v>
      </c>
      <c r="AA114" t="s">
        <v>45</v>
      </c>
    </row>
    <row r="115" spans="7:27" ht="12.75">
      <c r="G115" s="234"/>
      <c r="H115" s="232">
        <v>178</v>
      </c>
      <c r="I115" s="232" t="s">
        <v>35</v>
      </c>
      <c r="J115" s="232" t="s">
        <v>274</v>
      </c>
      <c r="K115" s="232"/>
      <c r="L115" s="232">
        <v>200</v>
      </c>
      <c r="M115" s="232">
        <v>0.3</v>
      </c>
      <c r="N115" s="232"/>
      <c r="O115" s="232">
        <v>2.942098765</v>
      </c>
      <c r="P115" s="429"/>
      <c r="Q115" s="429">
        <v>0</v>
      </c>
      <c r="R115" s="429">
        <v>4490.052432787488</v>
      </c>
      <c r="S115" s="429">
        <v>0</v>
      </c>
      <c r="T115" s="429">
        <v>0.63</v>
      </c>
      <c r="U115" s="429">
        <v>0.28090918623545347</v>
      </c>
      <c r="V115" s="429">
        <v>0.005</v>
      </c>
      <c r="AA115" t="s">
        <v>46</v>
      </c>
    </row>
    <row r="116" spans="7:27" ht="12.75">
      <c r="G116" s="234"/>
      <c r="H116" s="232">
        <v>186</v>
      </c>
      <c r="I116" s="232" t="s">
        <v>35</v>
      </c>
      <c r="J116" s="232" t="s">
        <v>274</v>
      </c>
      <c r="K116" s="232"/>
      <c r="L116" s="232">
        <v>200</v>
      </c>
      <c r="M116" s="232">
        <v>0.3</v>
      </c>
      <c r="N116" s="232"/>
      <c r="O116" s="232">
        <v>2.942098765</v>
      </c>
      <c r="P116" s="429"/>
      <c r="Q116" s="429">
        <v>0</v>
      </c>
      <c r="R116" s="429">
        <v>4490.372978557974</v>
      </c>
      <c r="S116" s="429">
        <v>0</v>
      </c>
      <c r="T116" s="429">
        <v>0.63</v>
      </c>
      <c r="U116" s="429">
        <v>0.2809292404002737</v>
      </c>
      <c r="V116" s="429">
        <v>0.005</v>
      </c>
      <c r="AA116" t="s">
        <v>268</v>
      </c>
    </row>
    <row r="117" spans="7:27" ht="12.75">
      <c r="G117" s="234"/>
      <c r="H117" s="232">
        <v>187</v>
      </c>
      <c r="I117" s="232" t="s">
        <v>35</v>
      </c>
      <c r="J117" s="232" t="s">
        <v>274</v>
      </c>
      <c r="K117" s="232"/>
      <c r="L117" s="232">
        <v>200</v>
      </c>
      <c r="M117" s="232">
        <v>0.3</v>
      </c>
      <c r="N117" s="232"/>
      <c r="O117" s="232">
        <v>2.942098765</v>
      </c>
      <c r="P117" s="429"/>
      <c r="Q117" s="429">
        <v>0</v>
      </c>
      <c r="R117" s="429">
        <v>4490.052432787488</v>
      </c>
      <c r="S117" s="429">
        <v>0</v>
      </c>
      <c r="T117" s="429">
        <v>0.63</v>
      </c>
      <c r="U117" s="429">
        <v>0.28090918623545347</v>
      </c>
      <c r="V117" s="429">
        <v>0.005</v>
      </c>
      <c r="AA117" t="s">
        <v>265</v>
      </c>
    </row>
    <row r="118" spans="7:27" ht="12.75">
      <c r="G118" s="234"/>
      <c r="H118" s="232">
        <v>195</v>
      </c>
      <c r="I118" s="232" t="s">
        <v>35</v>
      </c>
      <c r="J118" s="232" t="s">
        <v>274</v>
      </c>
      <c r="K118" s="232"/>
      <c r="L118" s="232">
        <v>200</v>
      </c>
      <c r="M118" s="232">
        <v>0.3</v>
      </c>
      <c r="N118" s="232"/>
      <c r="O118" s="232">
        <v>2.942098765</v>
      </c>
      <c r="P118" s="429"/>
      <c r="Q118" s="429">
        <v>0</v>
      </c>
      <c r="R118" s="429">
        <v>4490.372978557974</v>
      </c>
      <c r="S118" s="429">
        <v>0</v>
      </c>
      <c r="T118" s="429">
        <v>0.63</v>
      </c>
      <c r="U118" s="429">
        <v>0.2809292404002737</v>
      </c>
      <c r="V118" s="429">
        <v>0.005</v>
      </c>
      <c r="AA118" t="s">
        <v>276</v>
      </c>
    </row>
    <row r="119" spans="7:27" ht="12.75">
      <c r="G119" s="234"/>
      <c r="H119" s="232">
        <v>196</v>
      </c>
      <c r="I119" s="232" t="s">
        <v>35</v>
      </c>
      <c r="J119" s="232" t="s">
        <v>274</v>
      </c>
      <c r="K119" s="232"/>
      <c r="L119" s="232">
        <v>200</v>
      </c>
      <c r="M119" s="232">
        <v>0.3</v>
      </c>
      <c r="N119" s="232"/>
      <c r="O119" s="232">
        <v>2.942098765</v>
      </c>
      <c r="P119" s="429"/>
      <c r="Q119" s="429">
        <v>0</v>
      </c>
      <c r="R119" s="429">
        <v>4490.052432787488</v>
      </c>
      <c r="S119" s="429">
        <v>0</v>
      </c>
      <c r="T119" s="429">
        <v>0.63</v>
      </c>
      <c r="U119" s="429">
        <v>0.28090918623545347</v>
      </c>
      <c r="V119" s="429">
        <v>0.005</v>
      </c>
      <c r="AA119" t="s">
        <v>46</v>
      </c>
    </row>
    <row r="120" spans="7:27" ht="12.75">
      <c r="G120" s="234"/>
      <c r="H120" s="232">
        <v>204</v>
      </c>
      <c r="I120" s="232" t="s">
        <v>35</v>
      </c>
      <c r="J120" s="232" t="s">
        <v>274</v>
      </c>
      <c r="K120" s="232"/>
      <c r="L120" s="232">
        <v>200</v>
      </c>
      <c r="M120" s="232">
        <v>0.3</v>
      </c>
      <c r="N120" s="232"/>
      <c r="O120" s="232">
        <v>2.942098765</v>
      </c>
      <c r="P120" s="429"/>
      <c r="Q120" s="429">
        <v>0</v>
      </c>
      <c r="R120" s="429">
        <v>4490.372978557974</v>
      </c>
      <c r="S120" s="429">
        <v>0</v>
      </c>
      <c r="T120" s="429">
        <v>0.63</v>
      </c>
      <c r="U120" s="429">
        <v>0.2809292404002737</v>
      </c>
      <c r="V120" s="429">
        <v>0.005</v>
      </c>
      <c r="AA120" t="s">
        <v>249</v>
      </c>
    </row>
    <row r="121" spans="7:27" ht="12.75">
      <c r="G121" s="234"/>
      <c r="H121" s="232">
        <v>205</v>
      </c>
      <c r="I121" s="232" t="s">
        <v>35</v>
      </c>
      <c r="J121" s="232" t="s">
        <v>274</v>
      </c>
      <c r="K121" s="232"/>
      <c r="L121" s="232">
        <v>200</v>
      </c>
      <c r="M121" s="232">
        <v>0.3</v>
      </c>
      <c r="N121" s="232"/>
      <c r="O121" s="232">
        <v>2.942098765</v>
      </c>
      <c r="P121" s="429"/>
      <c r="Q121" s="429">
        <v>0</v>
      </c>
      <c r="R121" s="429">
        <v>4490.052432787488</v>
      </c>
      <c r="S121" s="429">
        <v>0</v>
      </c>
      <c r="T121" s="429">
        <v>0.63</v>
      </c>
      <c r="U121" s="429">
        <v>0.28090918623545347</v>
      </c>
      <c r="V121" s="429">
        <v>0.005</v>
      </c>
      <c r="AA121" t="s">
        <v>284</v>
      </c>
    </row>
    <row r="122" spans="7:27" ht="12.75">
      <c r="G122" s="234"/>
      <c r="H122" s="232">
        <v>213</v>
      </c>
      <c r="I122" s="232" t="s">
        <v>35</v>
      </c>
      <c r="J122" s="232" t="s">
        <v>274</v>
      </c>
      <c r="K122" s="232"/>
      <c r="L122" s="232">
        <v>200</v>
      </c>
      <c r="M122" s="232">
        <v>0.3</v>
      </c>
      <c r="N122" s="232"/>
      <c r="O122" s="232">
        <v>2.942098765</v>
      </c>
      <c r="P122" s="429"/>
      <c r="Q122" s="429">
        <v>0</v>
      </c>
      <c r="R122" s="429">
        <v>4490.372978557974</v>
      </c>
      <c r="S122" s="429">
        <v>0</v>
      </c>
      <c r="T122" s="429">
        <v>0.63</v>
      </c>
      <c r="U122" s="429">
        <v>0.2809292404002737</v>
      </c>
      <c r="V122" s="429">
        <v>0.005</v>
      </c>
      <c r="AA122" t="s">
        <v>23</v>
      </c>
    </row>
    <row r="123" spans="7:27" ht="12.75">
      <c r="G123" s="234"/>
      <c r="H123" s="232">
        <v>214</v>
      </c>
      <c r="I123" s="232" t="s">
        <v>35</v>
      </c>
      <c r="J123" s="232" t="s">
        <v>274</v>
      </c>
      <c r="K123" s="232"/>
      <c r="L123" s="232">
        <v>200</v>
      </c>
      <c r="M123" s="232">
        <v>0.3</v>
      </c>
      <c r="N123" s="232"/>
      <c r="O123" s="232">
        <v>2.942098765</v>
      </c>
      <c r="P123" s="429"/>
      <c r="Q123" s="429">
        <v>0</v>
      </c>
      <c r="R123" s="429">
        <v>4490.052432787488</v>
      </c>
      <c r="S123" s="429">
        <v>0</v>
      </c>
      <c r="T123" s="429">
        <v>0.63</v>
      </c>
      <c r="U123" s="429">
        <v>0.28090918623545347</v>
      </c>
      <c r="V123" s="429">
        <v>0.005</v>
      </c>
      <c r="AA123" t="s">
        <v>270</v>
      </c>
    </row>
    <row r="124" spans="7:27" ht="12.75">
      <c r="G124" s="234"/>
      <c r="H124" s="232">
        <v>222</v>
      </c>
      <c r="I124" s="232" t="s">
        <v>35</v>
      </c>
      <c r="J124" s="232" t="s">
        <v>274</v>
      </c>
      <c r="K124" s="232"/>
      <c r="L124" s="232">
        <v>200</v>
      </c>
      <c r="M124" s="232">
        <v>0.3</v>
      </c>
      <c r="N124" s="232"/>
      <c r="O124" s="232">
        <v>2.942098765</v>
      </c>
      <c r="P124" s="429"/>
      <c r="Q124" s="429">
        <v>0</v>
      </c>
      <c r="R124" s="429">
        <v>4490.372978557974</v>
      </c>
      <c r="S124" s="429">
        <v>0</v>
      </c>
      <c r="T124" s="429">
        <v>0.63</v>
      </c>
      <c r="U124" s="429">
        <v>0.2809292404002737</v>
      </c>
      <c r="V124" s="429">
        <v>0.005</v>
      </c>
      <c r="AA124" t="s">
        <v>277</v>
      </c>
    </row>
    <row r="125" spans="7:27" ht="12.75">
      <c r="G125" s="234"/>
      <c r="H125" s="232">
        <v>223</v>
      </c>
      <c r="I125" s="232" t="s">
        <v>35</v>
      </c>
      <c r="J125" s="232" t="s">
        <v>274</v>
      </c>
      <c r="K125" s="232"/>
      <c r="L125" s="232">
        <v>200</v>
      </c>
      <c r="M125" s="232">
        <v>0.3</v>
      </c>
      <c r="N125" s="232"/>
      <c r="O125" s="232">
        <v>2.942098765</v>
      </c>
      <c r="P125" s="429"/>
      <c r="Q125" s="429">
        <v>0</v>
      </c>
      <c r="R125" s="429">
        <v>4490.052432787488</v>
      </c>
      <c r="S125" s="429">
        <v>0</v>
      </c>
      <c r="T125" s="429">
        <v>0.63</v>
      </c>
      <c r="U125" s="429">
        <v>0.28090918623545347</v>
      </c>
      <c r="V125" s="429">
        <v>0.005</v>
      </c>
      <c r="AA125" t="s">
        <v>263</v>
      </c>
    </row>
    <row r="126" spans="7:27" ht="12.75">
      <c r="G126" s="234"/>
      <c r="H126" s="232">
        <v>231</v>
      </c>
      <c r="I126" s="232" t="s">
        <v>35</v>
      </c>
      <c r="J126" s="232" t="s">
        <v>274</v>
      </c>
      <c r="K126" s="232"/>
      <c r="L126" s="232">
        <v>200</v>
      </c>
      <c r="M126" s="232">
        <v>0.3</v>
      </c>
      <c r="N126" s="232"/>
      <c r="O126" s="232">
        <v>2.942098765</v>
      </c>
      <c r="P126" s="429"/>
      <c r="Q126" s="429">
        <v>0</v>
      </c>
      <c r="R126" s="429">
        <v>4490.372978557974</v>
      </c>
      <c r="S126" s="429">
        <v>0</v>
      </c>
      <c r="T126" s="429">
        <v>0.63</v>
      </c>
      <c r="U126" s="429">
        <v>0.2809292404002737</v>
      </c>
      <c r="V126" s="429">
        <v>0.005</v>
      </c>
      <c r="AA126" t="s">
        <v>47</v>
      </c>
    </row>
    <row r="127" spans="7:27" ht="12.75">
      <c r="G127" s="234"/>
      <c r="H127" s="232">
        <v>232</v>
      </c>
      <c r="I127" s="232" t="s">
        <v>35</v>
      </c>
      <c r="J127" s="232" t="s">
        <v>274</v>
      </c>
      <c r="K127" s="232"/>
      <c r="L127" s="232">
        <v>200</v>
      </c>
      <c r="M127" s="232">
        <v>0.3</v>
      </c>
      <c r="N127" s="232"/>
      <c r="O127" s="232">
        <v>2.942098765</v>
      </c>
      <c r="P127" s="429"/>
      <c r="Q127" s="429">
        <v>0</v>
      </c>
      <c r="R127" s="429">
        <v>4490.052432787488</v>
      </c>
      <c r="S127" s="429">
        <v>0</v>
      </c>
      <c r="T127" s="429">
        <v>0.63</v>
      </c>
      <c r="U127" s="429">
        <v>0.28090918623545347</v>
      </c>
      <c r="V127" s="429">
        <v>0.005</v>
      </c>
      <c r="AA127" t="s">
        <v>259</v>
      </c>
    </row>
    <row r="128" spans="7:27" ht="12.75">
      <c r="G128" s="234"/>
      <c r="H128" s="232">
        <v>240</v>
      </c>
      <c r="I128" s="232" t="s">
        <v>35</v>
      </c>
      <c r="J128" s="232" t="s">
        <v>274</v>
      </c>
      <c r="K128" s="232"/>
      <c r="L128" s="232">
        <v>200</v>
      </c>
      <c r="M128" s="232">
        <v>0.3</v>
      </c>
      <c r="N128" s="232"/>
      <c r="O128" s="232">
        <v>2.942098765</v>
      </c>
      <c r="P128" s="429"/>
      <c r="Q128" s="429">
        <v>0</v>
      </c>
      <c r="R128" s="429">
        <v>4490.372978557974</v>
      </c>
      <c r="S128" s="429">
        <v>0</v>
      </c>
      <c r="T128" s="429">
        <v>0.63</v>
      </c>
      <c r="U128" s="429">
        <v>0.2809292404002737</v>
      </c>
      <c r="V128" s="429">
        <v>0.005</v>
      </c>
      <c r="AA128" t="s">
        <v>266</v>
      </c>
    </row>
    <row r="129" spans="7:27" ht="12.75">
      <c r="G129" s="234"/>
      <c r="H129" s="232">
        <v>241</v>
      </c>
      <c r="I129" s="232" t="s">
        <v>35</v>
      </c>
      <c r="J129" s="232" t="s">
        <v>274</v>
      </c>
      <c r="K129" s="232"/>
      <c r="L129" s="232">
        <v>200</v>
      </c>
      <c r="M129" s="232">
        <v>0.3</v>
      </c>
      <c r="N129" s="232"/>
      <c r="O129" s="232">
        <v>2.942098765</v>
      </c>
      <c r="P129" s="429"/>
      <c r="Q129" s="429">
        <v>0</v>
      </c>
      <c r="R129" s="429">
        <v>4490.052432787488</v>
      </c>
      <c r="S129" s="429">
        <v>0</v>
      </c>
      <c r="T129" s="429">
        <v>0.63</v>
      </c>
      <c r="U129" s="429">
        <v>0.28090918623545347</v>
      </c>
      <c r="V129" s="429">
        <v>0.005</v>
      </c>
      <c r="AA129" t="s">
        <v>261</v>
      </c>
    </row>
    <row r="130" spans="7:27" ht="12.75">
      <c r="G130" s="234"/>
      <c r="H130" s="232">
        <v>33</v>
      </c>
      <c r="I130" s="232" t="s">
        <v>35</v>
      </c>
      <c r="J130" s="232" t="str">
        <f>+'Input Data'!I36</f>
        <v>Implant_LoE</v>
      </c>
      <c r="K130" s="232"/>
      <c r="L130" s="232">
        <v>150</v>
      </c>
      <c r="M130" s="414">
        <v>0.3</v>
      </c>
      <c r="N130" s="423"/>
      <c r="O130" s="232">
        <v>2.942098765</v>
      </c>
      <c r="P130" s="426"/>
      <c r="Q130" s="74">
        <f>+WS*LY^(($H130-1)/$B$24)*P130</f>
        <v>0</v>
      </c>
      <c r="R130" s="74">
        <f>+WS*LY^(($H130-1)/$B$24)*M130</f>
        <v>7487.609607312315</v>
      </c>
      <c r="S130" s="74">
        <f>+WS*LY^(($H130-1)/$B$24)*N130</f>
        <v>0</v>
      </c>
      <c r="T130" s="70">
        <f>+'Input Data'!$J$36</f>
        <v>0.5800000000000001</v>
      </c>
      <c r="U130" s="74">
        <f>+WS*(LY^((+H130-1)/$B$24))*(1/L130)/(1-T130)/720</f>
        <v>0.5502358617954378</v>
      </c>
      <c r="V130" s="74">
        <f>1/L130</f>
        <v>0.006666666666666667</v>
      </c>
      <c r="Y130" s="94" t="s">
        <v>285</v>
      </c>
      <c r="AA130" t="s">
        <v>265</v>
      </c>
    </row>
    <row r="131" spans="7:22" ht="12.75">
      <c r="G131" s="234"/>
      <c r="H131" s="232">
        <v>134</v>
      </c>
      <c r="I131" s="232" t="s">
        <v>35</v>
      </c>
      <c r="J131" s="232" t="s">
        <v>275</v>
      </c>
      <c r="K131" s="232"/>
      <c r="L131" s="232">
        <v>150</v>
      </c>
      <c r="M131" s="232">
        <v>0.3</v>
      </c>
      <c r="N131" s="232"/>
      <c r="O131" s="232">
        <v>2.942098765</v>
      </c>
      <c r="P131" s="429"/>
      <c r="Q131" s="429">
        <v>0</v>
      </c>
      <c r="R131" s="429">
        <v>4489.7319098991975</v>
      </c>
      <c r="S131" s="429">
        <v>0</v>
      </c>
      <c r="T131" s="429">
        <v>0.58</v>
      </c>
      <c r="U131" s="429">
        <v>0.32993326792322153</v>
      </c>
      <c r="V131" s="429">
        <v>0.006666666666666667</v>
      </c>
    </row>
    <row r="132" spans="7:22" ht="12.75">
      <c r="G132" s="234"/>
      <c r="H132" s="232">
        <v>143</v>
      </c>
      <c r="I132" s="232" t="s">
        <v>35</v>
      </c>
      <c r="J132" s="232" t="s">
        <v>275</v>
      </c>
      <c r="K132" s="232"/>
      <c r="L132" s="232">
        <v>150</v>
      </c>
      <c r="M132" s="232">
        <v>0.3</v>
      </c>
      <c r="N132" s="232"/>
      <c r="O132" s="232">
        <v>2.942098765</v>
      </c>
      <c r="P132" s="429"/>
      <c r="Q132" s="429">
        <v>0</v>
      </c>
      <c r="R132" s="429">
        <v>4489.7319098991975</v>
      </c>
      <c r="S132" s="429">
        <v>0</v>
      </c>
      <c r="T132" s="429">
        <v>0.58</v>
      </c>
      <c r="U132" s="429">
        <v>0.32993326792322153</v>
      </c>
      <c r="V132" s="429">
        <v>0.006666666666666667</v>
      </c>
    </row>
    <row r="133" spans="7:22" ht="12.75">
      <c r="G133" s="234"/>
      <c r="H133" s="232">
        <v>152</v>
      </c>
      <c r="I133" s="232" t="s">
        <v>35</v>
      </c>
      <c r="J133" s="232" t="s">
        <v>275</v>
      </c>
      <c r="K133" s="232"/>
      <c r="L133" s="232">
        <v>150</v>
      </c>
      <c r="M133" s="232">
        <v>0.3</v>
      </c>
      <c r="N133" s="232"/>
      <c r="O133" s="232">
        <v>2.942098765</v>
      </c>
      <c r="P133" s="429"/>
      <c r="Q133" s="429">
        <v>0</v>
      </c>
      <c r="R133" s="429">
        <v>4489.7319098991975</v>
      </c>
      <c r="S133" s="429">
        <v>0</v>
      </c>
      <c r="T133" s="429">
        <v>0.58</v>
      </c>
      <c r="U133" s="429">
        <v>0.32993326792322153</v>
      </c>
      <c r="V133" s="429">
        <v>0.006666666666666667</v>
      </c>
    </row>
    <row r="134" spans="7:27" ht="12.75">
      <c r="G134" s="234"/>
      <c r="H134" s="232">
        <v>161</v>
      </c>
      <c r="I134" s="232" t="s">
        <v>35</v>
      </c>
      <c r="J134" s="232" t="s">
        <v>275</v>
      </c>
      <c r="K134" s="232"/>
      <c r="L134" s="232">
        <v>150</v>
      </c>
      <c r="M134" s="232">
        <v>0.3</v>
      </c>
      <c r="N134" s="232"/>
      <c r="O134" s="232">
        <v>2.942098765</v>
      </c>
      <c r="P134" s="429"/>
      <c r="Q134" s="429">
        <v>0</v>
      </c>
      <c r="R134" s="429">
        <v>4489.7319098991975</v>
      </c>
      <c r="S134" s="429">
        <v>0</v>
      </c>
      <c r="T134" s="429">
        <v>0.58</v>
      </c>
      <c r="U134" s="429">
        <v>0.32993326792322153</v>
      </c>
      <c r="V134" s="429">
        <v>0.006666666666666667</v>
      </c>
      <c r="AA134" t="s">
        <v>271</v>
      </c>
    </row>
    <row r="135" spans="7:27" ht="12.75">
      <c r="G135" s="234"/>
      <c r="H135" s="232">
        <v>170</v>
      </c>
      <c r="I135" s="232" t="s">
        <v>35</v>
      </c>
      <c r="J135" s="232" t="s">
        <v>275</v>
      </c>
      <c r="K135" s="232"/>
      <c r="L135" s="232">
        <v>150</v>
      </c>
      <c r="M135" s="232">
        <v>0.3</v>
      </c>
      <c r="N135" s="232"/>
      <c r="O135" s="232">
        <v>2.942098765</v>
      </c>
      <c r="P135" s="429"/>
      <c r="Q135" s="429">
        <v>0</v>
      </c>
      <c r="R135" s="429">
        <v>4489.7319098991975</v>
      </c>
      <c r="S135" s="429">
        <v>0</v>
      </c>
      <c r="T135" s="429">
        <v>0.58</v>
      </c>
      <c r="U135" s="429">
        <v>0.32993326792322153</v>
      </c>
      <c r="V135" s="429">
        <v>0.006666666666666667</v>
      </c>
      <c r="AA135" t="s">
        <v>268</v>
      </c>
    </row>
    <row r="136" spans="7:27" ht="12.75">
      <c r="G136" s="234"/>
      <c r="H136" s="232">
        <v>179</v>
      </c>
      <c r="I136" s="232" t="s">
        <v>35</v>
      </c>
      <c r="J136" s="232" t="s">
        <v>275</v>
      </c>
      <c r="K136" s="232"/>
      <c r="L136" s="232">
        <v>150</v>
      </c>
      <c r="M136" s="232">
        <v>0.3</v>
      </c>
      <c r="N136" s="232"/>
      <c r="O136" s="232">
        <v>2.942098765</v>
      </c>
      <c r="P136" s="429"/>
      <c r="Q136" s="429">
        <v>0</v>
      </c>
      <c r="R136" s="429">
        <v>4489.7319098991975</v>
      </c>
      <c r="S136" s="429">
        <v>0</v>
      </c>
      <c r="T136" s="429">
        <v>0.58</v>
      </c>
      <c r="U136" s="429">
        <v>0.32993326792322153</v>
      </c>
      <c r="V136" s="429">
        <v>0.006666666666666667</v>
      </c>
      <c r="AA136" t="s">
        <v>273</v>
      </c>
    </row>
    <row r="137" spans="7:27" ht="12.75">
      <c r="G137" s="234"/>
      <c r="H137" s="232">
        <v>188</v>
      </c>
      <c r="I137" s="232" t="s">
        <v>35</v>
      </c>
      <c r="J137" s="232" t="s">
        <v>275</v>
      </c>
      <c r="K137" s="232"/>
      <c r="L137" s="232">
        <v>150</v>
      </c>
      <c r="M137" s="232">
        <v>0.3</v>
      </c>
      <c r="N137" s="232"/>
      <c r="O137" s="232">
        <v>2.942098765</v>
      </c>
      <c r="P137" s="429"/>
      <c r="Q137" s="429">
        <v>0</v>
      </c>
      <c r="R137" s="429">
        <v>4489.7319098991975</v>
      </c>
      <c r="S137" s="429">
        <v>0</v>
      </c>
      <c r="T137" s="429">
        <v>0.58</v>
      </c>
      <c r="U137" s="429">
        <v>0.32993326792322153</v>
      </c>
      <c r="V137" s="429">
        <v>0.006666666666666667</v>
      </c>
      <c r="AA137" t="s">
        <v>261</v>
      </c>
    </row>
    <row r="138" spans="7:27" ht="12.75">
      <c r="G138" s="234"/>
      <c r="H138" s="232">
        <v>197</v>
      </c>
      <c r="I138" s="232" t="s">
        <v>35</v>
      </c>
      <c r="J138" s="232" t="s">
        <v>275</v>
      </c>
      <c r="K138" s="232"/>
      <c r="L138" s="232">
        <v>150</v>
      </c>
      <c r="M138" s="232">
        <v>0.3</v>
      </c>
      <c r="N138" s="232"/>
      <c r="O138" s="232">
        <v>2.942098765</v>
      </c>
      <c r="P138" s="429"/>
      <c r="Q138" s="429">
        <v>0</v>
      </c>
      <c r="R138" s="429">
        <v>4489.7319098991975</v>
      </c>
      <c r="S138" s="429">
        <v>0</v>
      </c>
      <c r="T138" s="429">
        <v>0.58</v>
      </c>
      <c r="U138" s="429">
        <v>0.32993326792322153</v>
      </c>
      <c r="V138" s="429">
        <v>0.006666666666666667</v>
      </c>
      <c r="AA138" t="s">
        <v>249</v>
      </c>
    </row>
    <row r="139" spans="7:27" ht="12.75">
      <c r="G139" s="234"/>
      <c r="H139" s="232">
        <v>206</v>
      </c>
      <c r="I139" s="232" t="s">
        <v>35</v>
      </c>
      <c r="J139" s="232" t="s">
        <v>275</v>
      </c>
      <c r="K139" s="232"/>
      <c r="L139" s="232">
        <v>150</v>
      </c>
      <c r="M139" s="232">
        <v>0.3</v>
      </c>
      <c r="N139" s="232"/>
      <c r="O139" s="232">
        <v>2.942098765</v>
      </c>
      <c r="P139" s="429"/>
      <c r="Q139" s="429">
        <v>0</v>
      </c>
      <c r="R139" s="429">
        <v>4489.7319098991975</v>
      </c>
      <c r="S139" s="429">
        <v>0</v>
      </c>
      <c r="T139" s="429">
        <v>0.58</v>
      </c>
      <c r="U139" s="429">
        <v>0.32993326792322153</v>
      </c>
      <c r="V139" s="429">
        <v>0.006666666666666667</v>
      </c>
      <c r="AA139" t="s">
        <v>277</v>
      </c>
    </row>
    <row r="140" spans="7:27" ht="12.75">
      <c r="G140" s="234"/>
      <c r="H140" s="232">
        <v>215</v>
      </c>
      <c r="I140" s="232" t="s">
        <v>35</v>
      </c>
      <c r="J140" s="232" t="s">
        <v>275</v>
      </c>
      <c r="K140" s="232"/>
      <c r="L140" s="232">
        <v>150</v>
      </c>
      <c r="M140" s="232">
        <v>0.3</v>
      </c>
      <c r="N140" s="232"/>
      <c r="O140" s="232">
        <v>2.942098765</v>
      </c>
      <c r="P140" s="429"/>
      <c r="Q140" s="429">
        <v>0</v>
      </c>
      <c r="R140" s="429">
        <v>4489.7319098991975</v>
      </c>
      <c r="S140" s="429">
        <v>0</v>
      </c>
      <c r="T140" s="429">
        <v>0.58</v>
      </c>
      <c r="U140" s="429">
        <v>0.32993326792322153</v>
      </c>
      <c r="V140" s="429">
        <v>0.006666666666666667</v>
      </c>
      <c r="AA140" t="s">
        <v>275</v>
      </c>
    </row>
    <row r="141" spans="7:27" ht="12.75">
      <c r="G141" s="234"/>
      <c r="H141" s="232">
        <v>224</v>
      </c>
      <c r="I141" s="232" t="s">
        <v>35</v>
      </c>
      <c r="J141" s="232" t="s">
        <v>275</v>
      </c>
      <c r="K141" s="232"/>
      <c r="L141" s="232">
        <v>150</v>
      </c>
      <c r="M141" s="232">
        <v>0.3</v>
      </c>
      <c r="N141" s="232"/>
      <c r="O141" s="232">
        <v>2.942098765</v>
      </c>
      <c r="P141" s="429"/>
      <c r="Q141" s="429">
        <v>0</v>
      </c>
      <c r="R141" s="429">
        <v>4489.7319098991975</v>
      </c>
      <c r="S141" s="429">
        <v>0</v>
      </c>
      <c r="T141" s="429">
        <v>0.58</v>
      </c>
      <c r="U141" s="429">
        <v>0.32993326792322153</v>
      </c>
      <c r="V141" s="429">
        <v>0.006666666666666667</v>
      </c>
      <c r="AA141" t="s">
        <v>273</v>
      </c>
    </row>
    <row r="142" spans="7:27" ht="12.75">
      <c r="G142" s="234"/>
      <c r="H142" s="232">
        <v>233</v>
      </c>
      <c r="I142" s="232" t="s">
        <v>35</v>
      </c>
      <c r="J142" s="232" t="s">
        <v>275</v>
      </c>
      <c r="K142" s="232"/>
      <c r="L142" s="232">
        <v>150</v>
      </c>
      <c r="M142" s="232">
        <v>0.3</v>
      </c>
      <c r="N142" s="232"/>
      <c r="O142" s="232">
        <v>2.942098765</v>
      </c>
      <c r="P142" s="429"/>
      <c r="Q142" s="429">
        <v>0</v>
      </c>
      <c r="R142" s="429">
        <v>4489.7319098991975</v>
      </c>
      <c r="S142" s="429">
        <v>0</v>
      </c>
      <c r="T142" s="429">
        <v>0.58</v>
      </c>
      <c r="U142" s="429">
        <v>0.32993326792322153</v>
      </c>
      <c r="V142" s="429">
        <v>0.006666666666666667</v>
      </c>
      <c r="AA142" t="s">
        <v>265</v>
      </c>
    </row>
    <row r="143" spans="7:27" ht="12.75">
      <c r="G143" s="234"/>
      <c r="H143" s="232">
        <v>242</v>
      </c>
      <c r="I143" s="232" t="s">
        <v>35</v>
      </c>
      <c r="J143" s="232" t="s">
        <v>275</v>
      </c>
      <c r="K143" s="232"/>
      <c r="L143" s="232">
        <v>150</v>
      </c>
      <c r="M143" s="232">
        <v>0.3</v>
      </c>
      <c r="N143" s="232"/>
      <c r="O143" s="232">
        <v>2.942098765</v>
      </c>
      <c r="P143" s="429"/>
      <c r="Q143" s="429">
        <v>0</v>
      </c>
      <c r="R143" s="429">
        <v>4489.7319098991975</v>
      </c>
      <c r="S143" s="429">
        <v>0</v>
      </c>
      <c r="T143" s="429">
        <v>0.58</v>
      </c>
      <c r="U143" s="429">
        <v>0.32993326792322153</v>
      </c>
      <c r="V143" s="429">
        <v>0.006666666666666667</v>
      </c>
      <c r="AA143" t="s">
        <v>273</v>
      </c>
    </row>
    <row r="144" spans="7:27" ht="12.75">
      <c r="G144" s="234"/>
      <c r="H144" s="232">
        <v>7</v>
      </c>
      <c r="I144" s="232" t="s">
        <v>36</v>
      </c>
      <c r="J144" s="232" t="str">
        <f>+'Input Data'!I37</f>
        <v>Insp_PLY</v>
      </c>
      <c r="K144" s="232"/>
      <c r="L144" s="232">
        <v>200</v>
      </c>
      <c r="M144" s="414">
        <v>0</v>
      </c>
      <c r="N144" s="423"/>
      <c r="O144" s="232">
        <v>0.903689236</v>
      </c>
      <c r="P144" s="426"/>
      <c r="Q144" s="74">
        <f>+WS*LY^(($H144-1)/$B$24)*P144</f>
        <v>0</v>
      </c>
      <c r="R144" s="74">
        <f aca="true" t="shared" si="13" ref="R144:S146">+WS*LY^(($H144-1)/$B$24)*M144</f>
        <v>0</v>
      </c>
      <c r="S144" s="74">
        <f t="shared" si="13"/>
        <v>0</v>
      </c>
      <c r="T144" s="70">
        <f>+'Input Data'!$J$37</f>
        <v>0.7</v>
      </c>
      <c r="U144" s="74">
        <f>+WS*(LY^((+H144-1)/$B$24))*(1/L144)/(1-T144)/720</f>
        <v>0.5785243241209017</v>
      </c>
      <c r="V144" s="74">
        <f aca="true" t="shared" si="14" ref="V144:V157">1/L144</f>
        <v>0.005</v>
      </c>
      <c r="AA144" t="s">
        <v>252</v>
      </c>
    </row>
    <row r="145" spans="7:27" ht="12.75">
      <c r="G145" s="234"/>
      <c r="H145" s="232">
        <v>13</v>
      </c>
      <c r="I145" s="232" t="s">
        <v>36</v>
      </c>
      <c r="J145" s="232" t="str">
        <f>+'Input Data'!I37</f>
        <v>Insp_PLY</v>
      </c>
      <c r="K145" s="232"/>
      <c r="L145" s="232">
        <v>200</v>
      </c>
      <c r="M145" s="414">
        <v>0</v>
      </c>
      <c r="N145" s="423"/>
      <c r="O145" s="232">
        <v>0.903689236</v>
      </c>
      <c r="P145" s="426"/>
      <c r="Q145" s="74">
        <f>+WS*LY^(($H145-1)/$B$24)*P145</f>
        <v>0</v>
      </c>
      <c r="R145" s="74">
        <f t="shared" si="13"/>
        <v>0</v>
      </c>
      <c r="S145" s="74">
        <f t="shared" si="13"/>
        <v>0</v>
      </c>
      <c r="T145" s="70">
        <f>+'Input Data'!$J$37</f>
        <v>0.7</v>
      </c>
      <c r="U145" s="74">
        <f>+WS*(LY^((+H145-1)/$B$24))*(1/L145)/(1-T145)/720</f>
        <v>0.5783450001400157</v>
      </c>
      <c r="V145" s="74">
        <f t="shared" si="14"/>
        <v>0.005</v>
      </c>
      <c r="AA145" t="s">
        <v>254</v>
      </c>
    </row>
    <row r="146" spans="7:27" ht="12.75">
      <c r="G146" s="234"/>
      <c r="H146" s="232">
        <v>29</v>
      </c>
      <c r="I146" s="232" t="s">
        <v>36</v>
      </c>
      <c r="J146" s="232" t="str">
        <f>+'Input Data'!I37</f>
        <v>Insp_PLY</v>
      </c>
      <c r="K146" s="232"/>
      <c r="L146" s="232">
        <v>200</v>
      </c>
      <c r="M146" s="414">
        <v>0</v>
      </c>
      <c r="N146" s="423"/>
      <c r="O146" s="232">
        <v>0.903689236</v>
      </c>
      <c r="P146" s="426"/>
      <c r="Q146" s="74">
        <f>+WS*LY^(($H146-1)/$B$24)*P146</f>
        <v>0</v>
      </c>
      <c r="R146" s="74">
        <f t="shared" si="13"/>
        <v>0</v>
      </c>
      <c r="S146" s="74">
        <f t="shared" si="13"/>
        <v>0</v>
      </c>
      <c r="T146" s="70">
        <f>+'Input Data'!$J$37</f>
        <v>0.7</v>
      </c>
      <c r="U146" s="74">
        <f>+WS*(LY^((+H146-1)/$B$24))*(1/L146)/(1-T146)/720</f>
        <v>0.5778670745581898</v>
      </c>
      <c r="V146" s="74">
        <f t="shared" si="14"/>
        <v>0.005</v>
      </c>
      <c r="AA146" t="s">
        <v>262</v>
      </c>
    </row>
    <row r="147" spans="7:22" ht="12.75">
      <c r="G147" s="234"/>
      <c r="H147" s="232">
        <v>42</v>
      </c>
      <c r="I147" s="232" t="s">
        <v>36</v>
      </c>
      <c r="J147" s="232" t="str">
        <f>+'Input Data'!I37</f>
        <v>Insp_PLY</v>
      </c>
      <c r="K147" s="232"/>
      <c r="L147" s="232">
        <v>200</v>
      </c>
      <c r="M147" s="414">
        <v>0</v>
      </c>
      <c r="N147" s="423"/>
      <c r="O147" s="232">
        <v>0.903689236</v>
      </c>
      <c r="P147" s="426"/>
      <c r="Q147" s="74">
        <f>+WS*LY^(($H175-1)/$B$24)*P147</f>
        <v>0</v>
      </c>
      <c r="R147" s="74">
        <f>+WS*LY^(($H175-1)/$B$24)*M147</f>
        <v>0</v>
      </c>
      <c r="S147" s="74">
        <f>+WS*LY^(($H175-1)/$B$24)*N147</f>
        <v>0</v>
      </c>
      <c r="T147" s="70">
        <f>+'Input Data'!$J$37</f>
        <v>0.7</v>
      </c>
      <c r="U147" s="74">
        <f>+WS*(LY^((+H175-1)/$B$24))*(1/L147)/(1-T147)/720</f>
        <v>0.5705979705096967</v>
      </c>
      <c r="V147" s="74">
        <f t="shared" si="14"/>
        <v>0.005</v>
      </c>
    </row>
    <row r="148" spans="7:22" ht="12.75">
      <c r="G148" s="234"/>
      <c r="H148" s="232">
        <v>49</v>
      </c>
      <c r="I148" s="232" t="s">
        <v>36</v>
      </c>
      <c r="J148" s="232" t="str">
        <f>+'Input Data'!I37</f>
        <v>Insp_PLY</v>
      </c>
      <c r="K148" s="232"/>
      <c r="L148" s="232">
        <v>200</v>
      </c>
      <c r="M148" s="414">
        <v>0</v>
      </c>
      <c r="N148" s="423"/>
      <c r="O148" s="232">
        <v>0.903689236</v>
      </c>
      <c r="P148" s="426"/>
      <c r="Q148" s="74">
        <f>+WS*LY^(($H193-1)/$B$24)*P148</f>
        <v>0</v>
      </c>
      <c r="R148" s="74">
        <f>+WS*LY^(($H193-1)/$B$24)*M148</f>
        <v>0</v>
      </c>
      <c r="S148" s="74">
        <f>+WS*LY^(($H193-1)/$B$24)*N148</f>
        <v>0</v>
      </c>
      <c r="T148" s="70">
        <f>+'Input Data'!$J$37</f>
        <v>0.7</v>
      </c>
      <c r="U148" s="74">
        <f>+WS*(LY^((+H193-1)/$B$24))*(1/L148)/(1-T148)/720</f>
        <v>0.5681561698044273</v>
      </c>
      <c r="V148" s="74">
        <f t="shared" si="14"/>
        <v>0.005</v>
      </c>
    </row>
    <row r="149" spans="7:22" ht="12.75">
      <c r="G149" s="234"/>
      <c r="H149" s="232">
        <v>75</v>
      </c>
      <c r="I149" s="232" t="s">
        <v>36</v>
      </c>
      <c r="J149" s="232" t="str">
        <f>+'Input Data'!I37</f>
        <v>Insp_PLY</v>
      </c>
      <c r="K149" s="232"/>
      <c r="L149" s="232">
        <v>200</v>
      </c>
      <c r="M149" s="414">
        <v>0</v>
      </c>
      <c r="N149" s="423"/>
      <c r="O149" s="232">
        <v>0.903689236</v>
      </c>
      <c r="P149" s="426"/>
      <c r="Q149" s="74">
        <f aca="true" t="shared" si="15" ref="Q149:Q157">+WS*LY^(($H307-1)/$B$24)*P149</f>
        <v>0</v>
      </c>
      <c r="R149" s="74">
        <f aca="true" t="shared" si="16" ref="R149:R157">+WS*LY^(($H307-1)/$B$24)*M149</f>
        <v>0</v>
      </c>
      <c r="S149" s="74">
        <f aca="true" t="shared" si="17" ref="S149:S157">+WS*LY^(($H307-1)/$B$24)*N149</f>
        <v>0</v>
      </c>
      <c r="T149" s="70">
        <f>+'Input Data'!$J$37</f>
        <v>0.7</v>
      </c>
      <c r="U149" s="74">
        <f aca="true" t="shared" si="18" ref="U149:U157">+WS*(LY^((+H307-1)/$B$24))*(1/L149)/(1-T149)/720</f>
        <v>0.5751563739655795</v>
      </c>
      <c r="V149" s="74">
        <f t="shared" si="14"/>
        <v>0.005</v>
      </c>
    </row>
    <row r="150" spans="7:22" ht="12.75">
      <c r="G150" s="234"/>
      <c r="H150" s="232">
        <v>79</v>
      </c>
      <c r="I150" s="232" t="s">
        <v>36</v>
      </c>
      <c r="J150" s="232" t="str">
        <f>+'Input Data'!I37</f>
        <v>Insp_PLY</v>
      </c>
      <c r="K150" s="232"/>
      <c r="L150" s="232">
        <v>200</v>
      </c>
      <c r="M150" s="414">
        <v>0</v>
      </c>
      <c r="N150" s="423"/>
      <c r="O150" s="232">
        <v>0.903689236</v>
      </c>
      <c r="P150" s="426"/>
      <c r="Q150" s="74">
        <f t="shared" si="15"/>
        <v>0</v>
      </c>
      <c r="R150" s="74">
        <f t="shared" si="16"/>
        <v>0</v>
      </c>
      <c r="S150" s="74">
        <f t="shared" si="17"/>
        <v>0</v>
      </c>
      <c r="T150" s="70">
        <f>+'Input Data'!$J$37</f>
        <v>0.7</v>
      </c>
      <c r="U150" s="74">
        <f t="shared" si="18"/>
        <v>0.5748889746529812</v>
      </c>
      <c r="V150" s="74">
        <f t="shared" si="14"/>
        <v>0.005</v>
      </c>
    </row>
    <row r="151" spans="7:22" ht="12.75">
      <c r="G151" s="234"/>
      <c r="H151" s="232">
        <v>88</v>
      </c>
      <c r="I151" s="232" t="s">
        <v>36</v>
      </c>
      <c r="J151" s="232" t="str">
        <f>+'Input Data'!I37</f>
        <v>Insp_PLY</v>
      </c>
      <c r="K151" s="232"/>
      <c r="L151" s="232">
        <v>200</v>
      </c>
      <c r="M151" s="414">
        <v>0</v>
      </c>
      <c r="N151" s="423"/>
      <c r="O151" s="232">
        <v>0.903689236</v>
      </c>
      <c r="P151" s="426"/>
      <c r="Q151" s="74">
        <f t="shared" si="15"/>
        <v>0</v>
      </c>
      <c r="R151" s="74">
        <f t="shared" si="16"/>
        <v>0</v>
      </c>
      <c r="S151" s="74">
        <f t="shared" si="17"/>
        <v>0</v>
      </c>
      <c r="T151" s="70">
        <f>+'Input Data'!$J$37</f>
        <v>0.7</v>
      </c>
      <c r="U151" s="74">
        <f t="shared" si="18"/>
        <v>0.5746216996585606</v>
      </c>
      <c r="V151" s="74">
        <f t="shared" si="14"/>
        <v>0.005</v>
      </c>
    </row>
    <row r="152" spans="7:22" ht="12.75">
      <c r="G152" s="234"/>
      <c r="H152" s="232">
        <v>93</v>
      </c>
      <c r="I152" s="232" t="s">
        <v>36</v>
      </c>
      <c r="J152" s="232" t="str">
        <f>+'Input Data'!I37</f>
        <v>Insp_PLY</v>
      </c>
      <c r="K152" s="232"/>
      <c r="L152" s="232">
        <v>200</v>
      </c>
      <c r="M152" s="414">
        <v>0</v>
      </c>
      <c r="N152" s="423"/>
      <c r="O152" s="232">
        <v>0.903689236</v>
      </c>
      <c r="P152" s="426"/>
      <c r="Q152" s="74">
        <f t="shared" si="15"/>
        <v>0</v>
      </c>
      <c r="R152" s="74">
        <f t="shared" si="16"/>
        <v>0</v>
      </c>
      <c r="S152" s="74">
        <f t="shared" si="17"/>
        <v>0</v>
      </c>
      <c r="T152" s="70">
        <f>+'Input Data'!$J$37</f>
        <v>0.7</v>
      </c>
      <c r="U152" s="74">
        <f t="shared" si="18"/>
        <v>0.5743545489245204</v>
      </c>
      <c r="V152" s="74">
        <f t="shared" si="14"/>
        <v>0.005</v>
      </c>
    </row>
    <row r="153" spans="7:22" ht="12.75">
      <c r="G153" s="234"/>
      <c r="H153" s="232">
        <v>99</v>
      </c>
      <c r="I153" s="232" t="s">
        <v>36</v>
      </c>
      <c r="J153" s="232" t="str">
        <f>+'Input Data'!I37</f>
        <v>Insp_PLY</v>
      </c>
      <c r="K153" s="232"/>
      <c r="L153" s="232">
        <v>200</v>
      </c>
      <c r="M153" s="414">
        <v>0</v>
      </c>
      <c r="N153" s="423"/>
      <c r="O153" s="232">
        <v>0.903689236</v>
      </c>
      <c r="P153" s="426"/>
      <c r="Q153" s="74">
        <f t="shared" si="15"/>
        <v>0</v>
      </c>
      <c r="R153" s="74">
        <f t="shared" si="16"/>
        <v>0</v>
      </c>
      <c r="S153" s="74">
        <f t="shared" si="17"/>
        <v>0</v>
      </c>
      <c r="T153" s="70">
        <f>+'Input Data'!$J$37</f>
        <v>0.7</v>
      </c>
      <c r="U153" s="74">
        <f t="shared" si="18"/>
        <v>0.5740875223930899</v>
      </c>
      <c r="V153" s="74">
        <f t="shared" si="14"/>
        <v>0.005</v>
      </c>
    </row>
    <row r="154" spans="7:22" ht="12.75">
      <c r="G154" s="234"/>
      <c r="H154" s="232">
        <v>105</v>
      </c>
      <c r="I154" s="232" t="s">
        <v>36</v>
      </c>
      <c r="J154" s="232" t="str">
        <f>+'Input Data'!I37</f>
        <v>Insp_PLY</v>
      </c>
      <c r="K154" s="232"/>
      <c r="L154" s="232">
        <v>200</v>
      </c>
      <c r="M154" s="414">
        <v>0</v>
      </c>
      <c r="N154" s="423"/>
      <c r="O154" s="232">
        <v>0.903689236</v>
      </c>
      <c r="P154" s="426"/>
      <c r="Q154" s="74">
        <f t="shared" si="15"/>
        <v>0</v>
      </c>
      <c r="R154" s="74">
        <f t="shared" si="16"/>
        <v>0</v>
      </c>
      <c r="S154" s="74">
        <f t="shared" si="17"/>
        <v>0</v>
      </c>
      <c r="T154" s="70">
        <f>+'Input Data'!$J$37</f>
        <v>0.7</v>
      </c>
      <c r="U154" s="74">
        <f t="shared" si="18"/>
        <v>0.5738206200065255</v>
      </c>
      <c r="V154" s="74">
        <f t="shared" si="14"/>
        <v>0.005</v>
      </c>
    </row>
    <row r="155" spans="7:22" ht="12.75">
      <c r="G155" s="234"/>
      <c r="H155" s="232">
        <v>108</v>
      </c>
      <c r="I155" s="232" t="s">
        <v>36</v>
      </c>
      <c r="J155" s="232" t="str">
        <f>+'Input Data'!I37</f>
        <v>Insp_PLY</v>
      </c>
      <c r="K155" s="232"/>
      <c r="L155" s="232">
        <v>200</v>
      </c>
      <c r="M155" s="414">
        <v>0</v>
      </c>
      <c r="N155" s="423"/>
      <c r="O155" s="232">
        <v>0.903689236</v>
      </c>
      <c r="P155" s="426"/>
      <c r="Q155" s="74">
        <f t="shared" si="15"/>
        <v>0</v>
      </c>
      <c r="R155" s="74">
        <f t="shared" si="16"/>
        <v>0</v>
      </c>
      <c r="S155" s="74">
        <f t="shared" si="17"/>
        <v>0</v>
      </c>
      <c r="T155" s="70">
        <f>+'Input Data'!$J$37</f>
        <v>0.7</v>
      </c>
      <c r="U155" s="74">
        <f t="shared" si="18"/>
        <v>0.5735538417071099</v>
      </c>
      <c r="V155" s="74">
        <f t="shared" si="14"/>
        <v>0.005</v>
      </c>
    </row>
    <row r="156" spans="7:22" ht="12.75">
      <c r="G156" s="234"/>
      <c r="H156" s="232">
        <v>111</v>
      </c>
      <c r="I156" s="232" t="s">
        <v>36</v>
      </c>
      <c r="J156" s="232" t="str">
        <f>+'Input Data'!I37</f>
        <v>Insp_PLY</v>
      </c>
      <c r="K156" s="232"/>
      <c r="L156" s="232">
        <v>200</v>
      </c>
      <c r="M156" s="414">
        <v>0</v>
      </c>
      <c r="N156" s="423"/>
      <c r="O156" s="232">
        <v>0.903689236</v>
      </c>
      <c r="P156" s="426"/>
      <c r="Q156" s="74">
        <f t="shared" si="15"/>
        <v>0</v>
      </c>
      <c r="R156" s="74">
        <f t="shared" si="16"/>
        <v>0</v>
      </c>
      <c r="S156" s="74">
        <f t="shared" si="17"/>
        <v>0</v>
      </c>
      <c r="T156" s="70">
        <f>+'Input Data'!$J$37</f>
        <v>0.7</v>
      </c>
      <c r="U156" s="74">
        <f t="shared" si="18"/>
        <v>0.5732871874371535</v>
      </c>
      <c r="V156" s="74">
        <f t="shared" si="14"/>
        <v>0.005</v>
      </c>
    </row>
    <row r="157" spans="7:22" ht="12.75">
      <c r="G157" s="234"/>
      <c r="H157" s="232">
        <v>116</v>
      </c>
      <c r="I157" s="232" t="s">
        <v>36</v>
      </c>
      <c r="J157" s="232" t="str">
        <f>+'Input Data'!I37</f>
        <v>Insp_PLY</v>
      </c>
      <c r="K157" s="232"/>
      <c r="L157" s="232">
        <v>200</v>
      </c>
      <c r="M157" s="414">
        <v>0</v>
      </c>
      <c r="N157" s="423"/>
      <c r="O157" s="232">
        <v>0.903689236</v>
      </c>
      <c r="P157" s="426"/>
      <c r="Q157" s="74">
        <f t="shared" si="15"/>
        <v>0</v>
      </c>
      <c r="R157" s="74">
        <f t="shared" si="16"/>
        <v>0</v>
      </c>
      <c r="S157" s="74">
        <f t="shared" si="17"/>
        <v>0</v>
      </c>
      <c r="T157" s="70">
        <f>+'Input Data'!$J$37</f>
        <v>0.7</v>
      </c>
      <c r="U157" s="74">
        <f t="shared" si="18"/>
        <v>0.5730206571389925</v>
      </c>
      <c r="V157" s="74">
        <f t="shared" si="14"/>
        <v>0.005</v>
      </c>
    </row>
    <row r="158" spans="7:27" ht="12.75">
      <c r="G158" s="234"/>
      <c r="H158" s="232">
        <v>130</v>
      </c>
      <c r="I158" s="232" t="s">
        <v>36</v>
      </c>
      <c r="J158" s="232" t="s">
        <v>276</v>
      </c>
      <c r="K158" s="232"/>
      <c r="L158" s="232">
        <v>200</v>
      </c>
      <c r="M158" s="232">
        <v>0</v>
      </c>
      <c r="N158" s="232"/>
      <c r="O158" s="232">
        <v>0.903689236</v>
      </c>
      <c r="P158" s="429"/>
      <c r="Q158" s="429">
        <v>0</v>
      </c>
      <c r="R158" s="429">
        <v>0</v>
      </c>
      <c r="S158" s="429">
        <v>0</v>
      </c>
      <c r="T158" s="429">
        <v>0.7</v>
      </c>
      <c r="U158" s="429">
        <v>0.3465288687308693</v>
      </c>
      <c r="V158" s="429">
        <v>0.005</v>
      </c>
      <c r="AA158" t="s">
        <v>259</v>
      </c>
    </row>
    <row r="159" spans="7:27" ht="12.75">
      <c r="G159" s="234"/>
      <c r="H159" s="232">
        <v>139</v>
      </c>
      <c r="I159" s="232" t="s">
        <v>36</v>
      </c>
      <c r="J159" s="232" t="s">
        <v>276</v>
      </c>
      <c r="K159" s="232"/>
      <c r="L159" s="232">
        <v>200</v>
      </c>
      <c r="M159" s="232">
        <v>0</v>
      </c>
      <c r="N159" s="232"/>
      <c r="O159" s="232">
        <v>0.903689236</v>
      </c>
      <c r="P159" s="429"/>
      <c r="Q159" s="429">
        <v>0</v>
      </c>
      <c r="R159" s="429">
        <v>0</v>
      </c>
      <c r="S159" s="429">
        <v>0</v>
      </c>
      <c r="T159" s="429">
        <v>0.7</v>
      </c>
      <c r="U159" s="429">
        <v>0.3465288687308693</v>
      </c>
      <c r="V159" s="429">
        <v>0.005</v>
      </c>
      <c r="AA159" t="s">
        <v>279</v>
      </c>
    </row>
    <row r="160" spans="7:27" ht="12.75">
      <c r="G160" s="234"/>
      <c r="H160" s="232">
        <v>148</v>
      </c>
      <c r="I160" s="232" t="s">
        <v>36</v>
      </c>
      <c r="J160" s="232" t="s">
        <v>276</v>
      </c>
      <c r="K160" s="232"/>
      <c r="L160" s="232">
        <v>200</v>
      </c>
      <c r="M160" s="232">
        <v>0</v>
      </c>
      <c r="N160" s="232"/>
      <c r="O160" s="232">
        <v>0.903689236</v>
      </c>
      <c r="P160" s="429"/>
      <c r="Q160" s="429">
        <v>0</v>
      </c>
      <c r="R160" s="429">
        <v>0</v>
      </c>
      <c r="S160" s="429">
        <v>0</v>
      </c>
      <c r="T160" s="429">
        <v>0.7</v>
      </c>
      <c r="U160" s="429">
        <v>0.3465288687308693</v>
      </c>
      <c r="V160" s="429">
        <v>0.005</v>
      </c>
      <c r="AA160" t="s">
        <v>257</v>
      </c>
    </row>
    <row r="161" spans="7:27" ht="12.75">
      <c r="G161" s="234"/>
      <c r="H161" s="232">
        <v>157</v>
      </c>
      <c r="I161" s="232" t="s">
        <v>36</v>
      </c>
      <c r="J161" s="232" t="s">
        <v>276</v>
      </c>
      <c r="K161" s="232"/>
      <c r="L161" s="232">
        <v>200</v>
      </c>
      <c r="M161" s="232">
        <v>0</v>
      </c>
      <c r="N161" s="232"/>
      <c r="O161" s="232">
        <v>0.903689236</v>
      </c>
      <c r="P161" s="429"/>
      <c r="Q161" s="429">
        <v>0</v>
      </c>
      <c r="R161" s="429">
        <v>0</v>
      </c>
      <c r="S161" s="429">
        <v>0</v>
      </c>
      <c r="T161" s="429">
        <v>0.7</v>
      </c>
      <c r="U161" s="429">
        <v>0.3465288687308693</v>
      </c>
      <c r="V161" s="429">
        <v>0.005</v>
      </c>
      <c r="AA161" t="s">
        <v>261</v>
      </c>
    </row>
    <row r="162" spans="7:27" ht="12.75">
      <c r="G162" s="234"/>
      <c r="H162" s="232">
        <v>166</v>
      </c>
      <c r="I162" s="232" t="s">
        <v>36</v>
      </c>
      <c r="J162" s="232" t="s">
        <v>276</v>
      </c>
      <c r="K162" s="232"/>
      <c r="L162" s="232">
        <v>200</v>
      </c>
      <c r="M162" s="232">
        <v>0</v>
      </c>
      <c r="N162" s="232"/>
      <c r="O162" s="232">
        <v>0.903689236</v>
      </c>
      <c r="P162" s="429"/>
      <c r="Q162" s="429">
        <v>0</v>
      </c>
      <c r="R162" s="429">
        <v>0</v>
      </c>
      <c r="S162" s="429">
        <v>0</v>
      </c>
      <c r="T162" s="429">
        <v>0.7</v>
      </c>
      <c r="U162" s="429">
        <v>0.3465288687308693</v>
      </c>
      <c r="V162" s="429">
        <v>0.005</v>
      </c>
      <c r="AA162" t="s">
        <v>47</v>
      </c>
    </row>
    <row r="163" spans="7:27" ht="12.75">
      <c r="G163" s="234"/>
      <c r="H163" s="232">
        <v>175</v>
      </c>
      <c r="I163" s="232" t="s">
        <v>36</v>
      </c>
      <c r="J163" s="232" t="s">
        <v>276</v>
      </c>
      <c r="K163" s="232"/>
      <c r="L163" s="232">
        <v>200</v>
      </c>
      <c r="M163" s="232">
        <v>0</v>
      </c>
      <c r="N163" s="232"/>
      <c r="O163" s="232">
        <v>0.903689236</v>
      </c>
      <c r="P163" s="429"/>
      <c r="Q163" s="429">
        <v>0</v>
      </c>
      <c r="R163" s="429">
        <v>0</v>
      </c>
      <c r="S163" s="429">
        <v>0</v>
      </c>
      <c r="T163" s="429">
        <v>0.7</v>
      </c>
      <c r="U163" s="429">
        <v>0.3465288687308693</v>
      </c>
      <c r="V163" s="429">
        <v>0.005</v>
      </c>
      <c r="AA163" t="s">
        <v>259</v>
      </c>
    </row>
    <row r="164" spans="7:27" ht="12.75">
      <c r="G164" s="234"/>
      <c r="H164" s="232">
        <v>184</v>
      </c>
      <c r="I164" s="232" t="s">
        <v>36</v>
      </c>
      <c r="J164" s="232" t="s">
        <v>276</v>
      </c>
      <c r="K164" s="232"/>
      <c r="L164" s="232">
        <v>200</v>
      </c>
      <c r="M164" s="232">
        <v>0</v>
      </c>
      <c r="N164" s="232"/>
      <c r="O164" s="232">
        <v>0.903689236</v>
      </c>
      <c r="P164" s="429"/>
      <c r="Q164" s="429">
        <v>0</v>
      </c>
      <c r="R164" s="429">
        <v>0</v>
      </c>
      <c r="S164" s="429">
        <v>0</v>
      </c>
      <c r="T164" s="429">
        <v>0.7</v>
      </c>
      <c r="U164" s="429">
        <v>0.3465288687308693</v>
      </c>
      <c r="V164" s="429">
        <v>0.005</v>
      </c>
      <c r="AA164" t="s">
        <v>277</v>
      </c>
    </row>
    <row r="165" spans="7:27" ht="12.75">
      <c r="G165" s="234"/>
      <c r="H165" s="232">
        <v>193</v>
      </c>
      <c r="I165" s="232" t="s">
        <v>36</v>
      </c>
      <c r="J165" s="232" t="s">
        <v>276</v>
      </c>
      <c r="K165" s="232"/>
      <c r="L165" s="232">
        <v>200</v>
      </c>
      <c r="M165" s="232">
        <v>0</v>
      </c>
      <c r="N165" s="232"/>
      <c r="O165" s="232">
        <v>0.903689236</v>
      </c>
      <c r="P165" s="429"/>
      <c r="Q165" s="429">
        <v>0</v>
      </c>
      <c r="R165" s="429">
        <v>0</v>
      </c>
      <c r="S165" s="429">
        <v>0</v>
      </c>
      <c r="T165" s="429">
        <v>0.7</v>
      </c>
      <c r="U165" s="429">
        <v>0.3465288687308693</v>
      </c>
      <c r="V165" s="429">
        <v>0.005</v>
      </c>
      <c r="AA165" t="s">
        <v>259</v>
      </c>
    </row>
    <row r="166" spans="7:27" ht="12.75">
      <c r="G166" s="234"/>
      <c r="H166" s="232">
        <v>202</v>
      </c>
      <c r="I166" s="232" t="s">
        <v>36</v>
      </c>
      <c r="J166" s="232" t="s">
        <v>276</v>
      </c>
      <c r="K166" s="232"/>
      <c r="L166" s="232">
        <v>200</v>
      </c>
      <c r="M166" s="232">
        <v>0</v>
      </c>
      <c r="N166" s="232"/>
      <c r="O166" s="232">
        <v>0.903689236</v>
      </c>
      <c r="P166" s="429"/>
      <c r="Q166" s="429">
        <v>0</v>
      </c>
      <c r="R166" s="429">
        <v>0</v>
      </c>
      <c r="S166" s="429">
        <v>0</v>
      </c>
      <c r="T166" s="429">
        <v>0.7</v>
      </c>
      <c r="U166" s="429">
        <v>0.3465288687308693</v>
      </c>
      <c r="V166" s="429">
        <v>0.005</v>
      </c>
      <c r="AA166" t="s">
        <v>261</v>
      </c>
    </row>
    <row r="167" spans="7:27" ht="12.75">
      <c r="G167" s="234"/>
      <c r="H167" s="232">
        <v>211</v>
      </c>
      <c r="I167" s="232" t="s">
        <v>36</v>
      </c>
      <c r="J167" s="232" t="s">
        <v>276</v>
      </c>
      <c r="K167" s="232"/>
      <c r="L167" s="232">
        <v>200</v>
      </c>
      <c r="M167" s="232">
        <v>0</v>
      </c>
      <c r="N167" s="232"/>
      <c r="O167" s="232">
        <v>0.903689236</v>
      </c>
      <c r="P167" s="429"/>
      <c r="Q167" s="429">
        <v>0</v>
      </c>
      <c r="R167" s="429">
        <v>0</v>
      </c>
      <c r="S167" s="429">
        <v>0</v>
      </c>
      <c r="T167" s="429">
        <v>0.7</v>
      </c>
      <c r="U167" s="429">
        <v>0.3465288687308693</v>
      </c>
      <c r="V167" s="429">
        <v>0.005</v>
      </c>
      <c r="AA167" t="s">
        <v>47</v>
      </c>
    </row>
    <row r="168" spans="7:27" ht="12.75">
      <c r="G168" s="234"/>
      <c r="H168" s="232">
        <v>220</v>
      </c>
      <c r="I168" s="232" t="s">
        <v>36</v>
      </c>
      <c r="J168" s="232" t="s">
        <v>276</v>
      </c>
      <c r="K168" s="232"/>
      <c r="L168" s="232">
        <v>200</v>
      </c>
      <c r="M168" s="232">
        <v>0</v>
      </c>
      <c r="N168" s="232"/>
      <c r="O168" s="232">
        <v>0.903689236</v>
      </c>
      <c r="P168" s="429"/>
      <c r="Q168" s="429">
        <v>0</v>
      </c>
      <c r="R168" s="429">
        <v>0</v>
      </c>
      <c r="S168" s="429">
        <v>0</v>
      </c>
      <c r="T168" s="429">
        <v>0.7</v>
      </c>
      <c r="U168" s="429">
        <v>0.3465288687308693</v>
      </c>
      <c r="V168" s="429">
        <v>0.005</v>
      </c>
      <c r="AA168" t="s">
        <v>271</v>
      </c>
    </row>
    <row r="169" spans="7:27" ht="12.75">
      <c r="G169" s="234"/>
      <c r="H169" s="232">
        <v>229</v>
      </c>
      <c r="I169" s="232" t="s">
        <v>36</v>
      </c>
      <c r="J169" s="232" t="s">
        <v>276</v>
      </c>
      <c r="K169" s="232"/>
      <c r="L169" s="232">
        <v>200</v>
      </c>
      <c r="M169" s="232">
        <v>0</v>
      </c>
      <c r="N169" s="232"/>
      <c r="O169" s="232">
        <v>0.903689236</v>
      </c>
      <c r="P169" s="429"/>
      <c r="Q169" s="429">
        <v>0</v>
      </c>
      <c r="R169" s="429">
        <v>0</v>
      </c>
      <c r="S169" s="429">
        <v>0</v>
      </c>
      <c r="T169" s="429">
        <v>0.7</v>
      </c>
      <c r="U169" s="429">
        <v>0.3465288687308693</v>
      </c>
      <c r="V169" s="429">
        <v>0.005</v>
      </c>
      <c r="AA169" t="s">
        <v>47</v>
      </c>
    </row>
    <row r="170" spans="7:27" ht="12.75">
      <c r="G170" s="234"/>
      <c r="H170" s="232">
        <v>238</v>
      </c>
      <c r="I170" s="232" t="s">
        <v>36</v>
      </c>
      <c r="J170" s="232" t="s">
        <v>276</v>
      </c>
      <c r="K170" s="232"/>
      <c r="L170" s="232">
        <v>200</v>
      </c>
      <c r="M170" s="232">
        <v>0</v>
      </c>
      <c r="N170" s="232"/>
      <c r="O170" s="232">
        <v>0.903689236</v>
      </c>
      <c r="P170" s="429"/>
      <c r="Q170" s="429">
        <v>0</v>
      </c>
      <c r="R170" s="429">
        <v>0</v>
      </c>
      <c r="S170" s="429">
        <v>0</v>
      </c>
      <c r="T170" s="429">
        <v>0.7</v>
      </c>
      <c r="U170" s="429">
        <v>0.3465288687308693</v>
      </c>
      <c r="V170" s="429">
        <v>0.005</v>
      </c>
      <c r="AA170" t="s">
        <v>286</v>
      </c>
    </row>
    <row r="171" spans="7:27" ht="12.75">
      <c r="G171" s="234"/>
      <c r="H171" s="232">
        <v>251</v>
      </c>
      <c r="I171" s="232" t="s">
        <v>36</v>
      </c>
      <c r="J171" s="232" t="s">
        <v>276</v>
      </c>
      <c r="K171" s="232"/>
      <c r="L171" s="232">
        <v>200</v>
      </c>
      <c r="M171" s="232">
        <v>0</v>
      </c>
      <c r="N171" s="232"/>
      <c r="O171" s="232">
        <v>0.903689236</v>
      </c>
      <c r="P171" s="429"/>
      <c r="Q171" s="429">
        <v>0</v>
      </c>
      <c r="R171" s="429">
        <v>0</v>
      </c>
      <c r="S171" s="429">
        <v>0</v>
      </c>
      <c r="T171" s="429">
        <v>0.7</v>
      </c>
      <c r="U171" s="429">
        <v>0.34593566781479246</v>
      </c>
      <c r="V171" s="429">
        <v>0.005</v>
      </c>
      <c r="AA171" t="s">
        <v>277</v>
      </c>
    </row>
    <row r="172" spans="7:22" ht="12.75">
      <c r="G172" s="234"/>
      <c r="H172" s="232">
        <v>258</v>
      </c>
      <c r="I172" s="232" t="s">
        <v>36</v>
      </c>
      <c r="J172" s="232" t="s">
        <v>276</v>
      </c>
      <c r="K172" s="232"/>
      <c r="L172" s="232">
        <v>200</v>
      </c>
      <c r="M172" s="232">
        <v>0</v>
      </c>
      <c r="N172" s="232"/>
      <c r="O172" s="232">
        <v>0.903689236</v>
      </c>
      <c r="P172" s="429"/>
      <c r="Q172" s="429">
        <v>0</v>
      </c>
      <c r="R172" s="429">
        <v>0</v>
      </c>
      <c r="S172" s="429">
        <v>0</v>
      </c>
      <c r="T172" s="429">
        <v>0.7</v>
      </c>
      <c r="U172" s="429">
        <v>0.3457628422391414</v>
      </c>
      <c r="V172" s="429">
        <v>0.005</v>
      </c>
    </row>
    <row r="173" spans="7:27" ht="12.75">
      <c r="G173" s="234"/>
      <c r="H173" s="232">
        <v>263</v>
      </c>
      <c r="I173" s="232" t="s">
        <v>36</v>
      </c>
      <c r="J173" s="232" t="s">
        <v>276</v>
      </c>
      <c r="K173" s="232"/>
      <c r="L173" s="232">
        <v>200</v>
      </c>
      <c r="M173" s="232">
        <v>0</v>
      </c>
      <c r="N173" s="232"/>
      <c r="O173" s="232">
        <v>0.903689236</v>
      </c>
      <c r="P173" s="429"/>
      <c r="Q173" s="429">
        <v>0</v>
      </c>
      <c r="R173" s="429">
        <v>0</v>
      </c>
      <c r="S173" s="429">
        <v>0</v>
      </c>
      <c r="T173" s="429">
        <v>0.7</v>
      </c>
      <c r="U173" s="429">
        <v>0.3439656555700318</v>
      </c>
      <c r="V173" s="429">
        <v>0.005</v>
      </c>
      <c r="AA173" t="s">
        <v>249</v>
      </c>
    </row>
    <row r="174" spans="7:27" ht="12.75">
      <c r="G174" s="234"/>
      <c r="H174" s="232">
        <v>268</v>
      </c>
      <c r="I174" s="232" t="s">
        <v>36</v>
      </c>
      <c r="J174" s="232" t="s">
        <v>276</v>
      </c>
      <c r="K174" s="232"/>
      <c r="L174" s="232">
        <v>200</v>
      </c>
      <c r="M174" s="232">
        <v>0</v>
      </c>
      <c r="N174" s="232"/>
      <c r="O174" s="232">
        <v>0.903689236</v>
      </c>
      <c r="P174" s="429"/>
      <c r="Q174" s="429">
        <v>0</v>
      </c>
      <c r="R174" s="429">
        <v>0</v>
      </c>
      <c r="S174" s="429">
        <v>0</v>
      </c>
      <c r="T174" s="429">
        <v>0.7</v>
      </c>
      <c r="U174" s="429">
        <v>0.34384290296534054</v>
      </c>
      <c r="V174" s="429">
        <v>0.005</v>
      </c>
      <c r="AA174" t="s">
        <v>263</v>
      </c>
    </row>
    <row r="175" spans="7:27" ht="12.75">
      <c r="G175" s="234"/>
      <c r="H175" s="232">
        <v>274</v>
      </c>
      <c r="I175" s="232" t="s">
        <v>36</v>
      </c>
      <c r="J175" s="232" t="s">
        <v>276</v>
      </c>
      <c r="K175" s="232"/>
      <c r="L175" s="232">
        <v>200</v>
      </c>
      <c r="M175" s="232">
        <v>0</v>
      </c>
      <c r="N175" s="232"/>
      <c r="O175" s="232">
        <v>0.903689236</v>
      </c>
      <c r="P175" s="429"/>
      <c r="Q175" s="429">
        <v>0</v>
      </c>
      <c r="R175" s="429">
        <v>0</v>
      </c>
      <c r="S175" s="429">
        <v>0</v>
      </c>
      <c r="T175" s="429">
        <v>0.7</v>
      </c>
      <c r="U175" s="429">
        <v>0.3436956576639532</v>
      </c>
      <c r="V175" s="429">
        <v>0.005</v>
      </c>
      <c r="AA175" t="s">
        <v>262</v>
      </c>
    </row>
    <row r="176" spans="7:27" ht="12.75">
      <c r="G176" s="234"/>
      <c r="H176" s="232">
        <v>280</v>
      </c>
      <c r="I176" s="232" t="s">
        <v>36</v>
      </c>
      <c r="J176" s="232" t="s">
        <v>276</v>
      </c>
      <c r="K176" s="232"/>
      <c r="L176" s="232">
        <v>200</v>
      </c>
      <c r="M176" s="232">
        <v>0</v>
      </c>
      <c r="N176" s="232"/>
      <c r="O176" s="232">
        <v>0.903689236</v>
      </c>
      <c r="P176" s="429"/>
      <c r="Q176" s="429">
        <v>0</v>
      </c>
      <c r="R176" s="429">
        <v>0</v>
      </c>
      <c r="S176" s="429">
        <v>0</v>
      </c>
      <c r="T176" s="429">
        <v>0.7</v>
      </c>
      <c r="U176" s="429">
        <v>0.34354847541804434</v>
      </c>
      <c r="V176" s="429">
        <v>0.005</v>
      </c>
      <c r="AA176" t="s">
        <v>47</v>
      </c>
    </row>
    <row r="177" spans="7:27" ht="12.75">
      <c r="G177" s="234"/>
      <c r="H177" s="232">
        <v>283</v>
      </c>
      <c r="I177" s="232" t="s">
        <v>36</v>
      </c>
      <c r="J177" s="232" t="s">
        <v>276</v>
      </c>
      <c r="K177" s="232"/>
      <c r="L177" s="232">
        <v>200</v>
      </c>
      <c r="M177" s="232">
        <v>0</v>
      </c>
      <c r="N177" s="232"/>
      <c r="O177" s="232">
        <v>0.903689236</v>
      </c>
      <c r="P177" s="429"/>
      <c r="Q177" s="429">
        <v>0</v>
      </c>
      <c r="R177" s="429">
        <v>0</v>
      </c>
      <c r="S177" s="429">
        <v>0</v>
      </c>
      <c r="T177" s="429">
        <v>0.7</v>
      </c>
      <c r="U177" s="429">
        <v>0.3434749079324556</v>
      </c>
      <c r="V177" s="429">
        <v>0.005</v>
      </c>
      <c r="AA177" t="s">
        <v>257</v>
      </c>
    </row>
    <row r="178" spans="7:27" ht="12.75">
      <c r="G178" s="234"/>
      <c r="H178" s="232">
        <v>286</v>
      </c>
      <c r="I178" s="232" t="s">
        <v>36</v>
      </c>
      <c r="J178" s="232" t="s">
        <v>276</v>
      </c>
      <c r="K178" s="232"/>
      <c r="L178" s="232">
        <v>200</v>
      </c>
      <c r="M178" s="232">
        <v>0</v>
      </c>
      <c r="N178" s="232"/>
      <c r="O178" s="232">
        <v>0.903689236</v>
      </c>
      <c r="P178" s="429"/>
      <c r="Q178" s="429">
        <v>0</v>
      </c>
      <c r="R178" s="429">
        <v>0</v>
      </c>
      <c r="S178" s="429">
        <v>0</v>
      </c>
      <c r="T178" s="429">
        <v>0.7</v>
      </c>
      <c r="U178" s="429">
        <v>0.34340135620061146</v>
      </c>
      <c r="V178" s="429">
        <v>0.005</v>
      </c>
      <c r="AA178" t="s">
        <v>272</v>
      </c>
    </row>
    <row r="179" spans="7:27" ht="12.75">
      <c r="G179" s="234"/>
      <c r="H179" s="232">
        <v>291</v>
      </c>
      <c r="I179" s="232" t="s">
        <v>36</v>
      </c>
      <c r="J179" s="232" t="s">
        <v>276</v>
      </c>
      <c r="K179" s="232"/>
      <c r="L179" s="232">
        <v>200</v>
      </c>
      <c r="M179" s="232">
        <v>0</v>
      </c>
      <c r="N179" s="232"/>
      <c r="O179" s="232">
        <v>0.903689236</v>
      </c>
      <c r="P179" s="429"/>
      <c r="Q179" s="429">
        <v>0</v>
      </c>
      <c r="R179" s="429">
        <v>0</v>
      </c>
      <c r="S179" s="429">
        <v>0</v>
      </c>
      <c r="T179" s="429">
        <v>0.7</v>
      </c>
      <c r="U179" s="429">
        <v>0.3432788049800303</v>
      </c>
      <c r="V179" s="429">
        <v>0.005</v>
      </c>
      <c r="AA179" t="s">
        <v>260</v>
      </c>
    </row>
    <row r="180" spans="7:27" ht="12.75">
      <c r="G180" s="234"/>
      <c r="H180" s="232">
        <v>296</v>
      </c>
      <c r="I180" s="232" t="s">
        <v>36</v>
      </c>
      <c r="J180" s="232" t="s">
        <v>276</v>
      </c>
      <c r="K180" s="232"/>
      <c r="L180" s="232">
        <v>200</v>
      </c>
      <c r="M180" s="414">
        <v>0</v>
      </c>
      <c r="N180" s="423"/>
      <c r="O180" s="232">
        <v>0.903689236</v>
      </c>
      <c r="P180" s="426"/>
      <c r="Q180" s="426">
        <v>0</v>
      </c>
      <c r="R180" s="426">
        <v>0</v>
      </c>
      <c r="S180" s="426">
        <v>0</v>
      </c>
      <c r="T180" s="429">
        <v>0.7</v>
      </c>
      <c r="U180" s="426">
        <v>0.3439656555700318</v>
      </c>
      <c r="V180" s="426">
        <v>0.005</v>
      </c>
      <c r="AA180" t="s">
        <v>250</v>
      </c>
    </row>
    <row r="181" spans="7:27" ht="12.75">
      <c r="G181" s="234"/>
      <c r="H181" s="232">
        <v>301</v>
      </c>
      <c r="I181" s="232" t="s">
        <v>36</v>
      </c>
      <c r="J181" s="232" t="s">
        <v>276</v>
      </c>
      <c r="K181" s="232"/>
      <c r="L181" s="232">
        <v>200</v>
      </c>
      <c r="M181" s="414">
        <v>0</v>
      </c>
      <c r="N181" s="423"/>
      <c r="O181" s="232">
        <v>0.903689236</v>
      </c>
      <c r="P181" s="426"/>
      <c r="Q181" s="426">
        <v>0</v>
      </c>
      <c r="R181" s="426">
        <v>0</v>
      </c>
      <c r="S181" s="426">
        <v>0</v>
      </c>
      <c r="T181" s="429">
        <v>0.7</v>
      </c>
      <c r="U181" s="426">
        <v>0.34384290296534054</v>
      </c>
      <c r="V181" s="426">
        <v>0.005</v>
      </c>
      <c r="AA181" t="s">
        <v>265</v>
      </c>
    </row>
    <row r="182" spans="7:27" ht="12.75">
      <c r="G182" s="234"/>
      <c r="H182" s="232">
        <v>307</v>
      </c>
      <c r="I182" s="232" t="s">
        <v>36</v>
      </c>
      <c r="J182" s="232" t="s">
        <v>276</v>
      </c>
      <c r="K182" s="232"/>
      <c r="L182" s="232">
        <v>200</v>
      </c>
      <c r="M182" s="414">
        <v>0</v>
      </c>
      <c r="N182" s="423"/>
      <c r="O182" s="232">
        <v>0.903689236</v>
      </c>
      <c r="P182" s="426"/>
      <c r="Q182" s="426">
        <v>0</v>
      </c>
      <c r="R182" s="426">
        <v>0</v>
      </c>
      <c r="S182" s="426">
        <v>0</v>
      </c>
      <c r="T182" s="429">
        <v>0.7</v>
      </c>
      <c r="U182" s="426">
        <v>0.3436956576639532</v>
      </c>
      <c r="V182" s="426">
        <v>0.005</v>
      </c>
      <c r="AA182" t="s">
        <v>263</v>
      </c>
    </row>
    <row r="183" spans="7:27" ht="12.75">
      <c r="G183" s="234"/>
      <c r="H183" s="232">
        <v>313</v>
      </c>
      <c r="I183" s="232" t="s">
        <v>36</v>
      </c>
      <c r="J183" s="232" t="s">
        <v>276</v>
      </c>
      <c r="K183" s="232"/>
      <c r="L183" s="232">
        <v>200</v>
      </c>
      <c r="M183" s="232">
        <v>0</v>
      </c>
      <c r="N183" s="232"/>
      <c r="O183" s="232">
        <v>0.903689236</v>
      </c>
      <c r="P183" s="429"/>
      <c r="Q183" s="429">
        <v>0</v>
      </c>
      <c r="R183" s="429">
        <v>0</v>
      </c>
      <c r="S183" s="429">
        <v>0</v>
      </c>
      <c r="T183" s="429">
        <v>0.7</v>
      </c>
      <c r="U183" s="429">
        <v>0.34354847541804434</v>
      </c>
      <c r="V183" s="429">
        <v>0.005</v>
      </c>
      <c r="AA183" t="s">
        <v>282</v>
      </c>
    </row>
    <row r="184" spans="7:27" ht="12.75">
      <c r="G184" s="234"/>
      <c r="H184" s="232">
        <v>316</v>
      </c>
      <c r="I184" s="232" t="s">
        <v>36</v>
      </c>
      <c r="J184" s="232" t="s">
        <v>276</v>
      </c>
      <c r="K184" s="232"/>
      <c r="L184" s="232">
        <v>200</v>
      </c>
      <c r="M184" s="232">
        <v>0</v>
      </c>
      <c r="N184" s="232"/>
      <c r="O184" s="232">
        <v>0.903689236</v>
      </c>
      <c r="P184" s="429"/>
      <c r="Q184" s="429">
        <v>0</v>
      </c>
      <c r="R184" s="429">
        <v>0</v>
      </c>
      <c r="S184" s="429">
        <v>0</v>
      </c>
      <c r="T184" s="429">
        <v>0.7</v>
      </c>
      <c r="U184" s="429">
        <v>0.3434749079324556</v>
      </c>
      <c r="V184" s="429">
        <v>0.005</v>
      </c>
      <c r="AA184" t="s">
        <v>260</v>
      </c>
    </row>
    <row r="185" spans="7:27" ht="12.75">
      <c r="G185" s="234"/>
      <c r="H185" s="232">
        <v>319</v>
      </c>
      <c r="I185" s="232" t="s">
        <v>36</v>
      </c>
      <c r="J185" s="232" t="s">
        <v>276</v>
      </c>
      <c r="K185" s="232"/>
      <c r="L185" s="232">
        <v>200</v>
      </c>
      <c r="M185" s="232">
        <v>0</v>
      </c>
      <c r="N185" s="232"/>
      <c r="O185" s="232">
        <v>0.903689236</v>
      </c>
      <c r="P185" s="429"/>
      <c r="Q185" s="429">
        <v>0</v>
      </c>
      <c r="R185" s="429">
        <v>0</v>
      </c>
      <c r="S185" s="429">
        <v>0</v>
      </c>
      <c r="T185" s="429">
        <v>0.7</v>
      </c>
      <c r="U185" s="429">
        <v>0.34340135620061146</v>
      </c>
      <c r="V185" s="429">
        <v>0.005</v>
      </c>
      <c r="AA185" t="s">
        <v>273</v>
      </c>
    </row>
    <row r="186" spans="7:22" ht="12.75">
      <c r="G186" s="234"/>
      <c r="H186" s="232">
        <v>324</v>
      </c>
      <c r="I186" s="232" t="s">
        <v>36</v>
      </c>
      <c r="J186" s="232" t="s">
        <v>276</v>
      </c>
      <c r="K186" s="232"/>
      <c r="L186" s="232">
        <v>200</v>
      </c>
      <c r="M186" s="232">
        <v>0</v>
      </c>
      <c r="N186" s="232"/>
      <c r="O186" s="232">
        <v>0.903689236</v>
      </c>
      <c r="P186" s="429"/>
      <c r="Q186" s="429">
        <v>0</v>
      </c>
      <c r="R186" s="429">
        <v>0</v>
      </c>
      <c r="S186" s="429">
        <v>0</v>
      </c>
      <c r="T186" s="429">
        <v>0.7</v>
      </c>
      <c r="U186" s="429">
        <v>0.3432788049800303</v>
      </c>
      <c r="V186" s="429">
        <v>0.005</v>
      </c>
    </row>
    <row r="187" spans="7:27" ht="12.75">
      <c r="G187" s="234"/>
      <c r="H187" s="232">
        <v>329</v>
      </c>
      <c r="I187" s="232" t="s">
        <v>36</v>
      </c>
      <c r="J187" s="232" t="s">
        <v>276</v>
      </c>
      <c r="K187" s="232"/>
      <c r="L187" s="232">
        <v>200</v>
      </c>
      <c r="M187" s="232">
        <v>0</v>
      </c>
      <c r="N187" s="232"/>
      <c r="O187" s="232">
        <v>0.903689236</v>
      </c>
      <c r="P187" s="429"/>
      <c r="Q187" s="429">
        <v>0</v>
      </c>
      <c r="R187" s="429">
        <v>0</v>
      </c>
      <c r="S187" s="429">
        <v>0</v>
      </c>
      <c r="T187" s="429">
        <v>0.7</v>
      </c>
      <c r="U187" s="429">
        <v>0.3439656555700318</v>
      </c>
      <c r="V187" s="429">
        <v>0.005</v>
      </c>
      <c r="AA187" t="s">
        <v>252</v>
      </c>
    </row>
    <row r="188" spans="7:27" ht="12.75">
      <c r="G188" s="234"/>
      <c r="H188" s="232">
        <v>334</v>
      </c>
      <c r="I188" s="232" t="s">
        <v>36</v>
      </c>
      <c r="J188" s="232" t="s">
        <v>276</v>
      </c>
      <c r="K188" s="232"/>
      <c r="L188" s="232">
        <v>200</v>
      </c>
      <c r="M188" s="232">
        <v>0</v>
      </c>
      <c r="N188" s="232"/>
      <c r="O188" s="232">
        <v>0.903689236</v>
      </c>
      <c r="P188" s="429"/>
      <c r="Q188" s="429">
        <v>0</v>
      </c>
      <c r="R188" s="429">
        <v>0</v>
      </c>
      <c r="S188" s="429">
        <v>0</v>
      </c>
      <c r="T188" s="429">
        <v>0.7</v>
      </c>
      <c r="U188" s="429">
        <v>0.34384290296534054</v>
      </c>
      <c r="V188" s="429">
        <v>0.005</v>
      </c>
      <c r="AA188" t="s">
        <v>23</v>
      </c>
    </row>
    <row r="189" spans="7:27" ht="12.75">
      <c r="G189" s="234"/>
      <c r="H189" s="232">
        <v>340</v>
      </c>
      <c r="I189" s="232" t="s">
        <v>36</v>
      </c>
      <c r="J189" s="232" t="s">
        <v>276</v>
      </c>
      <c r="K189" s="232"/>
      <c r="L189" s="232">
        <v>200</v>
      </c>
      <c r="M189" s="232">
        <v>0</v>
      </c>
      <c r="N189" s="232"/>
      <c r="O189" s="232">
        <v>0.903689236</v>
      </c>
      <c r="P189" s="429"/>
      <c r="Q189" s="429">
        <v>0</v>
      </c>
      <c r="R189" s="429">
        <v>0</v>
      </c>
      <c r="S189" s="429">
        <v>0</v>
      </c>
      <c r="T189" s="429">
        <v>0.7</v>
      </c>
      <c r="U189" s="429">
        <v>0.3436956576639532</v>
      </c>
      <c r="V189" s="429">
        <v>0.005</v>
      </c>
      <c r="AA189" t="s">
        <v>265</v>
      </c>
    </row>
    <row r="190" spans="7:27" ht="12.75">
      <c r="G190" s="234"/>
      <c r="H190" s="232">
        <v>346</v>
      </c>
      <c r="I190" s="232" t="s">
        <v>36</v>
      </c>
      <c r="J190" s="232" t="s">
        <v>276</v>
      </c>
      <c r="K190" s="232"/>
      <c r="L190" s="232">
        <v>200</v>
      </c>
      <c r="M190" s="232">
        <v>0</v>
      </c>
      <c r="N190" s="232"/>
      <c r="O190" s="232">
        <v>0.903689236</v>
      </c>
      <c r="P190" s="429"/>
      <c r="Q190" s="429">
        <v>0</v>
      </c>
      <c r="R190" s="429">
        <v>0</v>
      </c>
      <c r="S190" s="429">
        <v>0</v>
      </c>
      <c r="T190" s="429">
        <v>0.7</v>
      </c>
      <c r="U190" s="429">
        <v>0.34354847541804434</v>
      </c>
      <c r="V190" s="429">
        <v>0.005</v>
      </c>
      <c r="AA190" t="s">
        <v>281</v>
      </c>
    </row>
    <row r="191" spans="7:27" ht="12.75">
      <c r="G191" s="234"/>
      <c r="H191" s="232">
        <v>349</v>
      </c>
      <c r="I191" s="232" t="s">
        <v>36</v>
      </c>
      <c r="J191" s="232" t="s">
        <v>276</v>
      </c>
      <c r="K191" s="232"/>
      <c r="L191" s="232">
        <v>200</v>
      </c>
      <c r="M191" s="232">
        <v>0</v>
      </c>
      <c r="N191" s="232"/>
      <c r="O191" s="232">
        <v>0.903689236</v>
      </c>
      <c r="P191" s="429"/>
      <c r="Q191" s="429">
        <v>0</v>
      </c>
      <c r="R191" s="429">
        <v>0</v>
      </c>
      <c r="S191" s="429">
        <v>0</v>
      </c>
      <c r="T191" s="429">
        <v>0.7</v>
      </c>
      <c r="U191" s="429">
        <v>0.3434749079324556</v>
      </c>
      <c r="V191" s="429">
        <v>0.005</v>
      </c>
      <c r="AA191" t="s">
        <v>264</v>
      </c>
    </row>
    <row r="192" spans="7:27" ht="12.75">
      <c r="G192" s="234"/>
      <c r="H192" s="232">
        <v>352</v>
      </c>
      <c r="I192" s="232" t="s">
        <v>36</v>
      </c>
      <c r="J192" s="232" t="s">
        <v>276</v>
      </c>
      <c r="K192" s="232"/>
      <c r="L192" s="232">
        <v>200</v>
      </c>
      <c r="M192" s="232">
        <v>0</v>
      </c>
      <c r="N192" s="232"/>
      <c r="O192" s="232">
        <v>0.903689236</v>
      </c>
      <c r="P192" s="429"/>
      <c r="Q192" s="429">
        <v>0</v>
      </c>
      <c r="R192" s="429">
        <v>0</v>
      </c>
      <c r="S192" s="429">
        <v>0</v>
      </c>
      <c r="T192" s="429">
        <v>0.7</v>
      </c>
      <c r="U192" s="429">
        <v>0.34340135620061146</v>
      </c>
      <c r="V192" s="429">
        <v>0.005</v>
      </c>
      <c r="AA192" t="s">
        <v>279</v>
      </c>
    </row>
    <row r="193" spans="7:22" ht="12.75">
      <c r="G193" s="234"/>
      <c r="H193" s="232">
        <v>357</v>
      </c>
      <c r="I193" s="232" t="s">
        <v>36</v>
      </c>
      <c r="J193" s="232" t="s">
        <v>276</v>
      </c>
      <c r="K193" s="232"/>
      <c r="L193" s="232">
        <v>200</v>
      </c>
      <c r="M193" s="232">
        <v>0</v>
      </c>
      <c r="N193" s="232"/>
      <c r="O193" s="232">
        <v>0.903689236</v>
      </c>
      <c r="P193" s="429"/>
      <c r="Q193" s="429">
        <v>0</v>
      </c>
      <c r="R193" s="429">
        <v>0</v>
      </c>
      <c r="S193" s="429">
        <v>0</v>
      </c>
      <c r="T193" s="429">
        <v>0.7</v>
      </c>
      <c r="U193" s="429">
        <v>0.3432788049800303</v>
      </c>
      <c r="V193" s="429">
        <v>0.005</v>
      </c>
    </row>
    <row r="194" spans="7:27" ht="12.75">
      <c r="G194" s="234"/>
      <c r="H194" s="232">
        <v>362</v>
      </c>
      <c r="I194" s="232" t="s">
        <v>36</v>
      </c>
      <c r="J194" s="232" t="s">
        <v>276</v>
      </c>
      <c r="K194" s="232"/>
      <c r="L194" s="232">
        <v>200</v>
      </c>
      <c r="M194" s="232">
        <v>0</v>
      </c>
      <c r="N194" s="232"/>
      <c r="O194" s="232">
        <v>0.903689236</v>
      </c>
      <c r="P194" s="429"/>
      <c r="Q194" s="429">
        <v>0</v>
      </c>
      <c r="R194" s="429">
        <v>0</v>
      </c>
      <c r="S194" s="429">
        <v>0</v>
      </c>
      <c r="T194" s="429">
        <v>0.7</v>
      </c>
      <c r="U194" s="429">
        <v>0.3439656555700318</v>
      </c>
      <c r="V194" s="429">
        <v>0.005</v>
      </c>
      <c r="AA194" t="s">
        <v>255</v>
      </c>
    </row>
    <row r="195" spans="7:27" ht="12.75">
      <c r="G195" s="234"/>
      <c r="H195" s="232">
        <v>367</v>
      </c>
      <c r="I195" s="232" t="s">
        <v>36</v>
      </c>
      <c r="J195" s="232" t="s">
        <v>276</v>
      </c>
      <c r="K195" s="232"/>
      <c r="L195" s="232">
        <v>200</v>
      </c>
      <c r="M195" s="232">
        <v>0</v>
      </c>
      <c r="N195" s="232"/>
      <c r="O195" s="232">
        <v>0.903689236</v>
      </c>
      <c r="P195" s="429"/>
      <c r="Q195" s="429">
        <v>0</v>
      </c>
      <c r="R195" s="429">
        <v>0</v>
      </c>
      <c r="S195" s="429">
        <v>0</v>
      </c>
      <c r="T195" s="429">
        <v>0.7</v>
      </c>
      <c r="U195" s="429">
        <v>0.34384290296534054</v>
      </c>
      <c r="V195" s="429">
        <v>0.005</v>
      </c>
      <c r="AA195" t="s">
        <v>266</v>
      </c>
    </row>
    <row r="196" spans="7:27" ht="12.75">
      <c r="G196" s="234"/>
      <c r="H196" s="232">
        <v>373</v>
      </c>
      <c r="I196" s="232" t="s">
        <v>36</v>
      </c>
      <c r="J196" s="232" t="s">
        <v>276</v>
      </c>
      <c r="K196" s="232"/>
      <c r="L196" s="232">
        <v>200</v>
      </c>
      <c r="M196" s="232">
        <v>0</v>
      </c>
      <c r="N196" s="232"/>
      <c r="O196" s="232">
        <v>0.903689236</v>
      </c>
      <c r="P196" s="429"/>
      <c r="Q196" s="429">
        <v>0</v>
      </c>
      <c r="R196" s="429">
        <v>0</v>
      </c>
      <c r="S196" s="429">
        <v>0</v>
      </c>
      <c r="T196" s="429">
        <v>0.7</v>
      </c>
      <c r="U196" s="429">
        <v>0.3436956576639532</v>
      </c>
      <c r="V196" s="429">
        <v>0.005</v>
      </c>
      <c r="AA196" t="s">
        <v>23</v>
      </c>
    </row>
    <row r="197" spans="7:27" ht="12.75">
      <c r="G197" s="234"/>
      <c r="H197" s="232">
        <v>379</v>
      </c>
      <c r="I197" s="232" t="s">
        <v>36</v>
      </c>
      <c r="J197" s="232" t="s">
        <v>276</v>
      </c>
      <c r="K197" s="232"/>
      <c r="L197" s="232">
        <v>200</v>
      </c>
      <c r="M197" s="232">
        <v>0</v>
      </c>
      <c r="N197" s="232"/>
      <c r="O197" s="232">
        <v>0.903689236</v>
      </c>
      <c r="P197" s="429"/>
      <c r="Q197" s="429">
        <v>0</v>
      </c>
      <c r="R197" s="429">
        <v>0</v>
      </c>
      <c r="S197" s="429">
        <v>0</v>
      </c>
      <c r="T197" s="429">
        <v>0.7</v>
      </c>
      <c r="U197" s="429">
        <v>0.34354847541804434</v>
      </c>
      <c r="V197" s="429">
        <v>0.005</v>
      </c>
      <c r="AA197" t="s">
        <v>283</v>
      </c>
    </row>
    <row r="198" spans="7:27" ht="12.75">
      <c r="G198" s="234"/>
      <c r="H198" s="232">
        <v>382</v>
      </c>
      <c r="I198" s="232" t="s">
        <v>36</v>
      </c>
      <c r="J198" s="232" t="s">
        <v>276</v>
      </c>
      <c r="K198" s="232"/>
      <c r="L198" s="232">
        <v>200</v>
      </c>
      <c r="M198" s="232">
        <v>0</v>
      </c>
      <c r="N198" s="232"/>
      <c r="O198" s="232">
        <v>0.903689236</v>
      </c>
      <c r="P198" s="429"/>
      <c r="Q198" s="429">
        <v>0</v>
      </c>
      <c r="R198" s="429">
        <v>0</v>
      </c>
      <c r="S198" s="429">
        <v>0</v>
      </c>
      <c r="T198" s="429">
        <v>0.7</v>
      </c>
      <c r="U198" s="429">
        <v>0.3434749079324556</v>
      </c>
      <c r="V198" s="429">
        <v>0.005</v>
      </c>
      <c r="AA198" t="s">
        <v>261</v>
      </c>
    </row>
    <row r="199" spans="7:27" ht="12.75">
      <c r="G199" s="234"/>
      <c r="H199" s="232">
        <v>385</v>
      </c>
      <c r="I199" s="232" t="s">
        <v>36</v>
      </c>
      <c r="J199" s="232" t="s">
        <v>276</v>
      </c>
      <c r="K199" s="232"/>
      <c r="L199" s="232">
        <v>200</v>
      </c>
      <c r="M199" s="232">
        <v>0</v>
      </c>
      <c r="N199" s="232"/>
      <c r="O199" s="232">
        <v>0.903689236</v>
      </c>
      <c r="P199" s="429"/>
      <c r="Q199" s="429">
        <v>0</v>
      </c>
      <c r="R199" s="429">
        <v>0</v>
      </c>
      <c r="S199" s="429">
        <v>0</v>
      </c>
      <c r="T199" s="429">
        <v>0.7</v>
      </c>
      <c r="U199" s="429">
        <v>0.34340135620061146</v>
      </c>
      <c r="V199" s="429">
        <v>0.005</v>
      </c>
      <c r="AA199" t="s">
        <v>280</v>
      </c>
    </row>
    <row r="200" spans="7:22" ht="12.75">
      <c r="G200" s="234"/>
      <c r="H200" s="232">
        <v>390</v>
      </c>
      <c r="I200" s="232" t="s">
        <v>36</v>
      </c>
      <c r="J200" s="232" t="s">
        <v>276</v>
      </c>
      <c r="K200" s="232"/>
      <c r="L200" s="232">
        <v>200</v>
      </c>
      <c r="M200" s="232">
        <v>0</v>
      </c>
      <c r="N200" s="232"/>
      <c r="O200" s="232">
        <v>0.903689236</v>
      </c>
      <c r="P200" s="429"/>
      <c r="Q200" s="429">
        <v>0</v>
      </c>
      <c r="R200" s="429">
        <v>0</v>
      </c>
      <c r="S200" s="429">
        <v>0</v>
      </c>
      <c r="T200" s="429">
        <v>0.7</v>
      </c>
      <c r="U200" s="429">
        <v>0.3432788049800303</v>
      </c>
      <c r="V200" s="429">
        <v>0.005</v>
      </c>
    </row>
    <row r="201" spans="7:22" ht="12.75">
      <c r="G201" s="234"/>
      <c r="H201" s="232">
        <v>46</v>
      </c>
      <c r="I201" s="232" t="s">
        <v>37</v>
      </c>
      <c r="J201" s="232" t="str">
        <f>+'Input Data'!I38</f>
        <v>Insp_Visual</v>
      </c>
      <c r="K201" s="232"/>
      <c r="L201" s="232">
        <v>200</v>
      </c>
      <c r="M201" s="414">
        <v>0</v>
      </c>
      <c r="N201" s="423"/>
      <c r="O201" s="232">
        <v>0.695802469</v>
      </c>
      <c r="P201" s="426"/>
      <c r="Q201" s="74">
        <f>+WS*LY^(($H246-1)/$B$24)*P201</f>
        <v>0</v>
      </c>
      <c r="R201" s="74">
        <f>+WS*LY^(($H246-1)/$B$24)*M201</f>
        <v>0</v>
      </c>
      <c r="S201" s="74">
        <f>+WS*LY^(($H246-1)/$B$24)*N201</f>
        <v>0</v>
      </c>
      <c r="T201" s="70">
        <f>+'Input Data'!$J$38</f>
        <v>0.65</v>
      </c>
      <c r="U201" s="74">
        <f>+WS*(LY^((+H246-1)/$B$24))*(1/L201)/(1-T201)/720</f>
        <v>0.4922530276832472</v>
      </c>
      <c r="V201" s="74">
        <f>1/L201</f>
        <v>0.005</v>
      </c>
    </row>
    <row r="202" spans="7:22" ht="12.75">
      <c r="G202" s="234"/>
      <c r="H202" s="232">
        <v>64</v>
      </c>
      <c r="I202" s="232" t="s">
        <v>37</v>
      </c>
      <c r="J202" s="232" t="str">
        <f>+'Input Data'!I38</f>
        <v>Insp_Visual</v>
      </c>
      <c r="K202" s="232"/>
      <c r="L202" s="232">
        <v>200</v>
      </c>
      <c r="M202" s="414">
        <v>0</v>
      </c>
      <c r="N202" s="423"/>
      <c r="O202" s="232">
        <v>0.695802469</v>
      </c>
      <c r="P202" s="426"/>
      <c r="Q202" s="74">
        <f>+WS*LY^(($H247-1)/$B$24)*P202</f>
        <v>0</v>
      </c>
      <c r="R202" s="74">
        <f>+WS*LY^(($H247-1)/$B$24)*M202</f>
        <v>0</v>
      </c>
      <c r="S202" s="74">
        <f>+WS*LY^(($H247-1)/$B$24)*N202</f>
        <v>0</v>
      </c>
      <c r="T202" s="70">
        <f>+'Input Data'!$J$38</f>
        <v>0.65</v>
      </c>
      <c r="U202" s="74">
        <f>+WS*(LY^((+H247-1)/$B$24))*(1/L202)/(1-T202)/720</f>
        <v>0.49202417145008154</v>
      </c>
      <c r="V202" s="74">
        <f>1/L202</f>
        <v>0.005</v>
      </c>
    </row>
    <row r="203" spans="7:27" ht="12.75">
      <c r="G203" s="234"/>
      <c r="H203" s="232">
        <v>255</v>
      </c>
      <c r="I203" s="232" t="s">
        <v>37</v>
      </c>
      <c r="J203" s="232" t="s">
        <v>277</v>
      </c>
      <c r="K203" s="232"/>
      <c r="L203" s="232">
        <v>200</v>
      </c>
      <c r="M203" s="232">
        <v>0</v>
      </c>
      <c r="N203" s="232"/>
      <c r="O203" s="232">
        <v>0.695802469</v>
      </c>
      <c r="P203" s="429"/>
      <c r="Q203" s="429">
        <v>0</v>
      </c>
      <c r="R203" s="429">
        <v>0</v>
      </c>
      <c r="S203" s="429">
        <v>0</v>
      </c>
      <c r="T203" s="429">
        <v>0.65</v>
      </c>
      <c r="U203" s="429">
        <v>0.29643162837258924</v>
      </c>
      <c r="V203" s="429">
        <v>0.005</v>
      </c>
      <c r="AA203" t="s">
        <v>45</v>
      </c>
    </row>
    <row r="204" spans="7:22" ht="12.75">
      <c r="G204" s="234"/>
      <c r="H204" s="232">
        <v>40</v>
      </c>
      <c r="I204" s="232" t="s">
        <v>38</v>
      </c>
      <c r="J204" s="232" t="str">
        <f>+'Input Data'!I39</f>
        <v>Litho_248</v>
      </c>
      <c r="K204" s="232" t="str">
        <f>+'Input Data'!A18</f>
        <v>248C_Mask</v>
      </c>
      <c r="L204" s="232">
        <v>25</v>
      </c>
      <c r="M204" s="414">
        <v>3.5</v>
      </c>
      <c r="N204" s="423">
        <v>2.25</v>
      </c>
      <c r="O204" s="232">
        <v>11.08736111</v>
      </c>
      <c r="P204" s="426">
        <f>+'Input Data'!$B$18/'Input Data'!$C$18</f>
        <v>2</v>
      </c>
      <c r="Q204" s="74">
        <f>+WS*LY^(($H232-1)/$B$24)*P204</f>
        <v>49396.556402186354</v>
      </c>
      <c r="R204" s="74">
        <f>+WS*LY^(($H232-1)/$B$24)*M204</f>
        <v>86443.97370382612</v>
      </c>
      <c r="S204" s="74">
        <f>+WS*LY^(($H232-1)/$B$24)*N204</f>
        <v>55571.125952459646</v>
      </c>
      <c r="T204" s="70">
        <f>+'Input Data'!$J$39</f>
        <v>0.19999999999999996</v>
      </c>
      <c r="U204" s="74">
        <f>+WS*(LY^((+H232-1)/$B$24))*(1/L204)/(1-T204)/720</f>
        <v>1.7151582084092483</v>
      </c>
      <c r="V204" s="74">
        <f>1/L204</f>
        <v>0.04</v>
      </c>
    </row>
    <row r="205" spans="7:22" ht="12.75">
      <c r="G205" s="234"/>
      <c r="H205" s="232">
        <v>77</v>
      </c>
      <c r="I205" s="232" t="s">
        <v>39</v>
      </c>
      <c r="J205" s="232" t="str">
        <f>+'Input Data'!I39</f>
        <v>Litho_248</v>
      </c>
      <c r="K205" s="232" t="str">
        <f>+'Input Data'!A17</f>
        <v>248_Mask</v>
      </c>
      <c r="L205" s="232">
        <v>25</v>
      </c>
      <c r="M205" s="414">
        <v>3.5</v>
      </c>
      <c r="N205" s="423">
        <v>2.25</v>
      </c>
      <c r="O205" s="232">
        <v>11.08736111</v>
      </c>
      <c r="P205" s="426">
        <f>+'Input Data'!$B$17/'Input Data'!$C$17</f>
        <v>0.625</v>
      </c>
      <c r="Q205" s="74">
        <f>+WS*LY^(($H363-1)/$B$24)*P205</f>
        <v>15341.801904000578</v>
      </c>
      <c r="R205" s="74">
        <f>+WS*LY^(($H363-1)/$B$24)*M205</f>
        <v>85914.09066240324</v>
      </c>
      <c r="S205" s="74">
        <f>+WS*LY^(($H363-1)/$B$24)*N205</f>
        <v>55230.48685440209</v>
      </c>
      <c r="T205" s="70">
        <f>+'Input Data'!$J$39</f>
        <v>0.19999999999999996</v>
      </c>
      <c r="U205" s="74">
        <f>+WS*(LY^((+H363-1)/$B$24))*(1/L205)/(1-T205)/720</f>
        <v>1.7046446560000643</v>
      </c>
      <c r="V205" s="74">
        <f>1/L205</f>
        <v>0.04</v>
      </c>
    </row>
    <row r="206" spans="7:27" ht="12.75">
      <c r="G206" s="234"/>
      <c r="H206" s="232">
        <v>249</v>
      </c>
      <c r="I206" s="232" t="s">
        <v>38</v>
      </c>
      <c r="J206" s="232" t="s">
        <v>278</v>
      </c>
      <c r="K206" s="232" t="s">
        <v>289</v>
      </c>
      <c r="L206" s="232">
        <v>25</v>
      </c>
      <c r="M206" s="232">
        <v>3.5</v>
      </c>
      <c r="N206" s="232">
        <v>2.25</v>
      </c>
      <c r="O206" s="232">
        <v>11.08736111</v>
      </c>
      <c r="P206" s="429">
        <v>2</v>
      </c>
      <c r="Q206" s="429">
        <v>29893.10939269181</v>
      </c>
      <c r="R206" s="429">
        <v>52312.94143721067</v>
      </c>
      <c r="S206" s="429">
        <v>33629.74806677829</v>
      </c>
      <c r="T206" s="429">
        <v>0.2</v>
      </c>
      <c r="U206" s="429">
        <v>1.0379551872462434</v>
      </c>
      <c r="V206" s="429">
        <v>0.04</v>
      </c>
      <c r="AA206" t="s">
        <v>46</v>
      </c>
    </row>
    <row r="207" spans="7:22" ht="12.75">
      <c r="G207" s="234"/>
      <c r="H207" s="232">
        <v>6</v>
      </c>
      <c r="I207" s="232" t="s">
        <v>40</v>
      </c>
      <c r="J207" s="232" t="str">
        <f>+'Input Data'!I40</f>
        <v>Litho_I</v>
      </c>
      <c r="K207" s="232" t="str">
        <f>+'Input Data'!A20</f>
        <v>I_Mask</v>
      </c>
      <c r="L207" s="232">
        <v>30</v>
      </c>
      <c r="M207" s="414">
        <v>0.8</v>
      </c>
      <c r="N207" s="423">
        <v>0.7</v>
      </c>
      <c r="O207" s="232">
        <v>6.055173611</v>
      </c>
      <c r="P207" s="426">
        <f>+'Input Data'!$B$20/'Input Data'!$C$20</f>
        <v>0.175</v>
      </c>
      <c r="Q207" s="74">
        <f>+WS*LY^(($H207-1)/$B$24)*P207</f>
        <v>4373.8698794338225</v>
      </c>
      <c r="R207" s="74">
        <f>+WS*LY^(($H207-1)/$B$24)*M207</f>
        <v>19994.833734554617</v>
      </c>
      <c r="S207" s="74">
        <f>+WS*LY^(($H207-1)/$B$24)*N207</f>
        <v>17495.47951773529</v>
      </c>
      <c r="T207" s="70">
        <f>+'Input Data'!$J$40</f>
        <v>0.19999999999999996</v>
      </c>
      <c r="U207" s="74">
        <f>+WS*(LY^((+H207-1)/$B$24))*(1/L207)/(1-T207)/720</f>
        <v>1.4463855421408145</v>
      </c>
      <c r="V207" s="74">
        <f>1/L207</f>
        <v>0.03333333333333333</v>
      </c>
    </row>
    <row r="208" spans="7:22" ht="12.75">
      <c r="G208" s="234"/>
      <c r="H208" s="232">
        <v>91</v>
      </c>
      <c r="I208" s="232" t="s">
        <v>41</v>
      </c>
      <c r="J208" s="232" t="str">
        <f>+'Input Data'!I40</f>
        <v>Litho_I</v>
      </c>
      <c r="K208" s="232" t="str">
        <f>+'Input Data'!A20</f>
        <v>I_Mask</v>
      </c>
      <c r="L208" s="232">
        <v>30</v>
      </c>
      <c r="M208" s="414">
        <v>0.8</v>
      </c>
      <c r="N208" s="423">
        <v>0.7</v>
      </c>
      <c r="O208" s="232">
        <v>6.055173611</v>
      </c>
      <c r="P208" s="426">
        <f>+'Input Data'!$B$20/'Input Data'!$C$20</f>
        <v>0.175</v>
      </c>
      <c r="Q208" s="74">
        <f>+WS*LY^(($H366-1)/$B$24)*P208</f>
        <v>4291.045981458876</v>
      </c>
      <c r="R208" s="74">
        <f>+WS*LY^(($H366-1)/$B$24)*M208</f>
        <v>19616.210200954865</v>
      </c>
      <c r="S208" s="74">
        <f>+WS*LY^(($H366-1)/$B$24)*N208</f>
        <v>17164.183925835503</v>
      </c>
      <c r="T208" s="70">
        <f>+'Input Data'!$J$40</f>
        <v>0.19999999999999996</v>
      </c>
      <c r="U208" s="74">
        <f>+WS*(LY^((+H366-1)/$B$24))*(1/L208)/(1-T208)/720</f>
        <v>1.418996686990369</v>
      </c>
      <c r="V208" s="74">
        <f>1/L208</f>
        <v>0.03333333333333333</v>
      </c>
    </row>
    <row r="209" spans="7:22" ht="12.75">
      <c r="G209" s="234"/>
      <c r="H209" s="232">
        <v>109</v>
      </c>
      <c r="I209" s="232" t="s">
        <v>42</v>
      </c>
      <c r="J209" s="232" t="str">
        <f>+'Input Data'!I40</f>
        <v>Litho_I</v>
      </c>
      <c r="K209" s="232" t="str">
        <f>+'Input Data'!A20</f>
        <v>I_Mask</v>
      </c>
      <c r="L209" s="232">
        <v>30</v>
      </c>
      <c r="M209" s="414">
        <v>0.8</v>
      </c>
      <c r="N209" s="423">
        <v>0.7</v>
      </c>
      <c r="O209" s="232">
        <v>6.055173611</v>
      </c>
      <c r="P209" s="426">
        <f>+'Input Data'!$B$20/'Input Data'!$C$20</f>
        <v>0.175</v>
      </c>
      <c r="Q209" s="74">
        <f>+WS*LY^(($H367-1)/$B$24)*P209</f>
        <v>4288.386220555935</v>
      </c>
      <c r="R209" s="74">
        <f>+WS*LY^(($H367-1)/$B$24)*M209</f>
        <v>19604.051293969995</v>
      </c>
      <c r="S209" s="74">
        <f>+WS*LY^(($H367-1)/$B$24)*N209</f>
        <v>17153.54488222374</v>
      </c>
      <c r="T209" s="70">
        <f>+'Input Data'!$J$40</f>
        <v>0.19999999999999996</v>
      </c>
      <c r="U209" s="74">
        <f>+WS*(LY^((+H367-1)/$B$24))*(1/L209)/(1-T209)/720</f>
        <v>1.4181171364272274</v>
      </c>
      <c r="V209" s="74">
        <f>1/L209</f>
        <v>0.03333333333333333</v>
      </c>
    </row>
    <row r="210" spans="7:27" ht="12.75">
      <c r="G210" s="234"/>
      <c r="H210" s="232">
        <v>266</v>
      </c>
      <c r="I210" s="232" t="s">
        <v>41</v>
      </c>
      <c r="J210" s="232" t="s">
        <v>279</v>
      </c>
      <c r="K210" s="232" t="s">
        <v>291</v>
      </c>
      <c r="L210" s="232">
        <v>30</v>
      </c>
      <c r="M210" s="232">
        <v>0.8</v>
      </c>
      <c r="N210" s="232">
        <v>0.7</v>
      </c>
      <c r="O210" s="232">
        <v>6.055173611</v>
      </c>
      <c r="P210" s="429">
        <v>0.175</v>
      </c>
      <c r="Q210" s="429">
        <v>2599.8235105459707</v>
      </c>
      <c r="R210" s="429">
        <v>11884.907476781584</v>
      </c>
      <c r="S210" s="429">
        <v>10399.294042183883</v>
      </c>
      <c r="T210" s="429">
        <v>0.2</v>
      </c>
      <c r="U210" s="429">
        <v>0.8597299968736677</v>
      </c>
      <c r="V210" s="429">
        <v>0.03333333333333333</v>
      </c>
      <c r="AA210" t="s">
        <v>23</v>
      </c>
    </row>
    <row r="211" spans="7:27" ht="12.75">
      <c r="G211" s="234"/>
      <c r="H211" s="232">
        <v>284</v>
      </c>
      <c r="I211" s="232" t="s">
        <v>42</v>
      </c>
      <c r="J211" s="232" t="s">
        <v>279</v>
      </c>
      <c r="K211" s="232" t="s">
        <v>291</v>
      </c>
      <c r="L211" s="232">
        <v>30</v>
      </c>
      <c r="M211" s="232">
        <v>0.8</v>
      </c>
      <c r="N211" s="232">
        <v>0.7</v>
      </c>
      <c r="O211" s="232">
        <v>6.055173611</v>
      </c>
      <c r="P211" s="429">
        <v>0.175</v>
      </c>
      <c r="Q211" s="429">
        <v>2596.484940373232</v>
      </c>
      <c r="R211" s="429">
        <v>11869.645441706205</v>
      </c>
      <c r="S211" s="429">
        <v>10385.939761492928</v>
      </c>
      <c r="T211" s="429">
        <v>0.2</v>
      </c>
      <c r="U211" s="429">
        <v>0.8586259723456453</v>
      </c>
      <c r="V211" s="429">
        <v>0.03333333333333333</v>
      </c>
      <c r="AA211" t="s">
        <v>278</v>
      </c>
    </row>
    <row r="212" spans="7:27" ht="12.75">
      <c r="G212" s="234"/>
      <c r="H212" s="232">
        <v>299</v>
      </c>
      <c r="I212" s="232" t="s">
        <v>41</v>
      </c>
      <c r="J212" s="232" t="s">
        <v>279</v>
      </c>
      <c r="K212" s="232" t="s">
        <v>291</v>
      </c>
      <c r="L212" s="232">
        <v>30</v>
      </c>
      <c r="M212" s="414">
        <v>0.8</v>
      </c>
      <c r="N212" s="423">
        <v>0.7</v>
      </c>
      <c r="O212" s="232">
        <v>6.055173611</v>
      </c>
      <c r="P212" s="426">
        <v>0.175</v>
      </c>
      <c r="Q212" s="426">
        <v>2599.8235105459707</v>
      </c>
      <c r="R212" s="426">
        <v>11884.907476781584</v>
      </c>
      <c r="S212" s="426">
        <v>10399.294042183883</v>
      </c>
      <c r="T212" s="429">
        <v>0.2</v>
      </c>
      <c r="U212" s="426">
        <v>0.8597299968736677</v>
      </c>
      <c r="V212" s="426">
        <v>0.03333333333333333</v>
      </c>
      <c r="AA212" t="s">
        <v>266</v>
      </c>
    </row>
    <row r="213" spans="7:27" ht="12.75">
      <c r="G213" s="234"/>
      <c r="H213" s="232">
        <v>317</v>
      </c>
      <c r="I213" s="232" t="s">
        <v>42</v>
      </c>
      <c r="J213" s="232" t="s">
        <v>279</v>
      </c>
      <c r="K213" s="232" t="s">
        <v>291</v>
      </c>
      <c r="L213" s="232">
        <v>30</v>
      </c>
      <c r="M213" s="232">
        <v>0.8</v>
      </c>
      <c r="N213" s="232">
        <v>0.7</v>
      </c>
      <c r="O213" s="232">
        <v>6.055173611</v>
      </c>
      <c r="P213" s="429">
        <v>0.175</v>
      </c>
      <c r="Q213" s="429">
        <v>2596.484940373232</v>
      </c>
      <c r="R213" s="429">
        <v>11869.645441706205</v>
      </c>
      <c r="S213" s="429">
        <v>10385.939761492928</v>
      </c>
      <c r="T213" s="429">
        <v>0.2</v>
      </c>
      <c r="U213" s="429">
        <v>0.8586259723456453</v>
      </c>
      <c r="V213" s="429">
        <v>0.03333333333333333</v>
      </c>
      <c r="AA213" t="s">
        <v>279</v>
      </c>
    </row>
    <row r="214" spans="7:27" ht="12.75">
      <c r="G214" s="234"/>
      <c r="H214" s="232">
        <v>332</v>
      </c>
      <c r="I214" s="232" t="s">
        <v>41</v>
      </c>
      <c r="J214" s="232" t="s">
        <v>279</v>
      </c>
      <c r="K214" s="232" t="s">
        <v>291</v>
      </c>
      <c r="L214" s="232">
        <v>30</v>
      </c>
      <c r="M214" s="232">
        <v>0.8</v>
      </c>
      <c r="N214" s="232">
        <v>0.7</v>
      </c>
      <c r="O214" s="232">
        <v>6.055173611</v>
      </c>
      <c r="P214" s="429">
        <v>0.175</v>
      </c>
      <c r="Q214" s="429">
        <v>2599.8235105459707</v>
      </c>
      <c r="R214" s="429">
        <v>11884.907476781584</v>
      </c>
      <c r="S214" s="429">
        <v>10399.294042183883</v>
      </c>
      <c r="T214" s="429">
        <v>0.2</v>
      </c>
      <c r="U214" s="429">
        <v>0.8597299968736677</v>
      </c>
      <c r="V214" s="429">
        <v>0.03333333333333333</v>
      </c>
      <c r="AA214" t="s">
        <v>267</v>
      </c>
    </row>
    <row r="215" spans="7:27" ht="12.75">
      <c r="G215" s="234"/>
      <c r="H215" s="232">
        <v>350</v>
      </c>
      <c r="I215" s="232" t="s">
        <v>42</v>
      </c>
      <c r="J215" s="232" t="s">
        <v>279</v>
      </c>
      <c r="K215" s="232" t="s">
        <v>291</v>
      </c>
      <c r="L215" s="232">
        <v>30</v>
      </c>
      <c r="M215" s="232">
        <v>0.8</v>
      </c>
      <c r="N215" s="232">
        <v>0.7</v>
      </c>
      <c r="O215" s="232">
        <v>6.055173611</v>
      </c>
      <c r="P215" s="429">
        <v>0.175</v>
      </c>
      <c r="Q215" s="429">
        <v>2596.484940373232</v>
      </c>
      <c r="R215" s="429">
        <v>11869.645441706205</v>
      </c>
      <c r="S215" s="429">
        <v>10385.939761492928</v>
      </c>
      <c r="T215" s="429">
        <v>0.2</v>
      </c>
      <c r="U215" s="429">
        <v>0.8586259723456453</v>
      </c>
      <c r="V215" s="429">
        <v>0.03333333333333333</v>
      </c>
      <c r="AA215" t="s">
        <v>280</v>
      </c>
    </row>
    <row r="216" spans="7:27" ht="12.75">
      <c r="G216" s="234"/>
      <c r="H216" s="232">
        <v>365</v>
      </c>
      <c r="I216" s="232" t="s">
        <v>41</v>
      </c>
      <c r="J216" s="232" t="s">
        <v>279</v>
      </c>
      <c r="K216" s="232" t="s">
        <v>291</v>
      </c>
      <c r="L216" s="232">
        <v>30</v>
      </c>
      <c r="M216" s="232">
        <v>0.8</v>
      </c>
      <c r="N216" s="232">
        <v>0.7</v>
      </c>
      <c r="O216" s="232">
        <v>6.055173611</v>
      </c>
      <c r="P216" s="429">
        <v>0.175</v>
      </c>
      <c r="Q216" s="429">
        <v>2599.8235105459707</v>
      </c>
      <c r="R216" s="429">
        <v>11884.907476781584</v>
      </c>
      <c r="S216" s="429">
        <v>10399.294042183883</v>
      </c>
      <c r="T216" s="429">
        <v>0.2</v>
      </c>
      <c r="U216" s="429">
        <v>0.8597299968736677</v>
      </c>
      <c r="V216" s="429">
        <v>0.03333333333333333</v>
      </c>
      <c r="AA216" t="s">
        <v>278</v>
      </c>
    </row>
    <row r="217" spans="7:27" ht="12.75">
      <c r="G217" s="234"/>
      <c r="H217" s="232">
        <v>383</v>
      </c>
      <c r="I217" s="232" t="s">
        <v>42</v>
      </c>
      <c r="J217" s="232" t="s">
        <v>279</v>
      </c>
      <c r="K217" s="232" t="s">
        <v>291</v>
      </c>
      <c r="L217" s="232">
        <v>30</v>
      </c>
      <c r="M217" s="232">
        <v>0.8</v>
      </c>
      <c r="N217" s="232">
        <v>0.7</v>
      </c>
      <c r="O217" s="232">
        <v>6.055173611</v>
      </c>
      <c r="P217" s="429">
        <v>0.175</v>
      </c>
      <c r="Q217" s="429">
        <v>2596.484940373232</v>
      </c>
      <c r="R217" s="429">
        <v>11869.645441706205</v>
      </c>
      <c r="S217" s="429">
        <v>10385.939761492928</v>
      </c>
      <c r="T217" s="429">
        <v>0.2</v>
      </c>
      <c r="U217" s="429">
        <v>0.8586259723456453</v>
      </c>
      <c r="V217" s="429">
        <v>0.03333333333333333</v>
      </c>
      <c r="AA217" t="s">
        <v>45</v>
      </c>
    </row>
    <row r="218" spans="7:27" ht="12.75">
      <c r="G218" s="234"/>
      <c r="H218" s="232">
        <v>27</v>
      </c>
      <c r="I218" s="232" t="s">
        <v>43</v>
      </c>
      <c r="J218" s="232" t="str">
        <f>+'Input Data'!I41</f>
        <v>Litho_Iw</v>
      </c>
      <c r="K218" s="232" t="str">
        <f>+'Input Data'!A19</f>
        <v>Iw_Mask</v>
      </c>
      <c r="L218" s="232">
        <v>40</v>
      </c>
      <c r="M218" s="414">
        <v>0.8</v>
      </c>
      <c r="N218" s="423">
        <v>0.7</v>
      </c>
      <c r="O218" s="232">
        <v>6.055173611</v>
      </c>
      <c r="P218" s="426">
        <f>+'Input Data'!$B$19/'Input Data'!$C$19</f>
        <v>0.1</v>
      </c>
      <c r="Q218" s="74">
        <f>+WS*LY^(($H218-1)/$B$24)*P218</f>
        <v>2496.6437485715387</v>
      </c>
      <c r="R218" s="74">
        <f>+WS*LY^(($H218-1)/$B$24)*M218</f>
        <v>19973.14998857231</v>
      </c>
      <c r="S218" s="74">
        <f>+WS*LY^(($H218-1)/$B$24)*N218</f>
        <v>17476.50624000077</v>
      </c>
      <c r="T218" s="70">
        <f>+'Input Data'!$J$40</f>
        <v>0.19999999999999996</v>
      </c>
      <c r="U218" s="74">
        <f>+WS*(LY^((+H218-1)/$B$24))*(1/L218)/(1-T218)/720</f>
        <v>1.0836127380952858</v>
      </c>
      <c r="V218" s="74">
        <f>1/L218</f>
        <v>0.025</v>
      </c>
      <c r="AA218" t="s">
        <v>261</v>
      </c>
    </row>
    <row r="219" spans="7:22" ht="12.75">
      <c r="G219" s="234"/>
      <c r="H219" s="232">
        <v>119</v>
      </c>
      <c r="I219" s="232" t="s">
        <v>44</v>
      </c>
      <c r="J219" s="232" t="str">
        <f>+'Input Data'!I41</f>
        <v>Litho_Iw</v>
      </c>
      <c r="K219" s="232" t="str">
        <f>+'Input Data'!A19</f>
        <v>Iw_Mask</v>
      </c>
      <c r="L219" s="232">
        <v>40</v>
      </c>
      <c r="M219" s="414">
        <v>0.8</v>
      </c>
      <c r="N219" s="423">
        <v>0.7</v>
      </c>
      <c r="O219" s="232">
        <v>6.055173611</v>
      </c>
      <c r="P219" s="426">
        <f>+'Input Data'!$B$19/'Input Data'!$C$19</f>
        <v>0.1</v>
      </c>
      <c r="Q219" s="74">
        <f>+WS*LY^(($H377-1)/$B$24)*P219</f>
        <v>2492.9055526965208</v>
      </c>
      <c r="R219" s="74">
        <f>+WS*LY^(($H377-1)/$B$24)*M219</f>
        <v>19943.244421572166</v>
      </c>
      <c r="S219" s="74">
        <f>+WS*LY^(($H377-1)/$B$24)*N219</f>
        <v>17450.338868875642</v>
      </c>
      <c r="T219" s="70">
        <f>+'Input Data'!$J$40</f>
        <v>0.19999999999999996</v>
      </c>
      <c r="U219" s="74">
        <f>+WS*(LY^((+H377-1)/$B$24))*(1/L219)/(1-T219)/720</f>
        <v>1.0819902572467537</v>
      </c>
      <c r="V219" s="74">
        <f>1/L219</f>
        <v>0.025</v>
      </c>
    </row>
    <row r="220" spans="7:27" ht="12.75">
      <c r="G220" s="234"/>
      <c r="H220" s="232">
        <v>128</v>
      </c>
      <c r="I220" s="232" t="s">
        <v>43</v>
      </c>
      <c r="J220" s="232" t="s">
        <v>280</v>
      </c>
      <c r="K220" s="232" t="s">
        <v>290</v>
      </c>
      <c r="L220" s="232">
        <v>40</v>
      </c>
      <c r="M220" s="232">
        <v>0.8</v>
      </c>
      <c r="N220" s="232">
        <v>0.7</v>
      </c>
      <c r="O220" s="232">
        <v>6.055173611</v>
      </c>
      <c r="P220" s="429">
        <v>0.1</v>
      </c>
      <c r="Q220" s="429">
        <v>1497.2184634981816</v>
      </c>
      <c r="R220" s="429">
        <v>11977.747707985453</v>
      </c>
      <c r="S220" s="429">
        <v>10480.52924448727</v>
      </c>
      <c r="T220" s="429">
        <v>0.2</v>
      </c>
      <c r="U220" s="429">
        <v>0.6498344025599746</v>
      </c>
      <c r="V220" s="429">
        <v>0.025</v>
      </c>
      <c r="AA220" t="s">
        <v>281</v>
      </c>
    </row>
    <row r="221" spans="7:27" ht="12.75">
      <c r="G221" s="234"/>
      <c r="H221" s="232">
        <v>137</v>
      </c>
      <c r="I221" s="232" t="s">
        <v>43</v>
      </c>
      <c r="J221" s="232" t="s">
        <v>280</v>
      </c>
      <c r="K221" s="232" t="s">
        <v>290</v>
      </c>
      <c r="L221" s="232">
        <v>40</v>
      </c>
      <c r="M221" s="232">
        <v>0.8</v>
      </c>
      <c r="N221" s="232">
        <v>0.7</v>
      </c>
      <c r="O221" s="232">
        <v>6.055173611</v>
      </c>
      <c r="P221" s="429">
        <v>0.1</v>
      </c>
      <c r="Q221" s="429">
        <v>1497.2184634981816</v>
      </c>
      <c r="R221" s="429">
        <v>11977.747707985453</v>
      </c>
      <c r="S221" s="429">
        <v>10480.52924448727</v>
      </c>
      <c r="T221" s="429">
        <v>0.2</v>
      </c>
      <c r="U221" s="429">
        <v>0.6498344025599746</v>
      </c>
      <c r="V221" s="429">
        <v>0.025</v>
      </c>
      <c r="AA221" t="s">
        <v>267</v>
      </c>
    </row>
    <row r="222" spans="7:27" ht="12.75">
      <c r="G222" s="234"/>
      <c r="H222" s="232">
        <v>146</v>
      </c>
      <c r="I222" s="232" t="s">
        <v>43</v>
      </c>
      <c r="J222" s="232" t="s">
        <v>280</v>
      </c>
      <c r="K222" s="232" t="s">
        <v>290</v>
      </c>
      <c r="L222" s="232">
        <v>40</v>
      </c>
      <c r="M222" s="232">
        <v>0.8</v>
      </c>
      <c r="N222" s="232">
        <v>0.7</v>
      </c>
      <c r="O222" s="232">
        <v>6.055173611</v>
      </c>
      <c r="P222" s="429">
        <v>0.1</v>
      </c>
      <c r="Q222" s="429">
        <v>1497.2184634981816</v>
      </c>
      <c r="R222" s="429">
        <v>11977.747707985453</v>
      </c>
      <c r="S222" s="429">
        <v>10480.52924448727</v>
      </c>
      <c r="T222" s="429">
        <v>0.2</v>
      </c>
      <c r="U222" s="429">
        <v>0.6498344025599746</v>
      </c>
      <c r="V222" s="429">
        <v>0.025</v>
      </c>
      <c r="AA222" t="s">
        <v>272</v>
      </c>
    </row>
    <row r="223" spans="7:27" ht="12.75">
      <c r="G223" s="234"/>
      <c r="H223" s="232">
        <v>155</v>
      </c>
      <c r="I223" s="232" t="s">
        <v>43</v>
      </c>
      <c r="J223" s="232" t="s">
        <v>280</v>
      </c>
      <c r="K223" s="232" t="s">
        <v>290</v>
      </c>
      <c r="L223" s="232">
        <v>40</v>
      </c>
      <c r="M223" s="232">
        <v>0.8</v>
      </c>
      <c r="N223" s="232">
        <v>0.7</v>
      </c>
      <c r="O223" s="232">
        <v>6.055173611</v>
      </c>
      <c r="P223" s="429">
        <v>0.1</v>
      </c>
      <c r="Q223" s="429">
        <v>1497.2184634981816</v>
      </c>
      <c r="R223" s="429">
        <v>11977.747707985453</v>
      </c>
      <c r="S223" s="429">
        <v>10480.52924448727</v>
      </c>
      <c r="T223" s="429">
        <v>0.2</v>
      </c>
      <c r="U223" s="429">
        <v>0.6498344025599746</v>
      </c>
      <c r="V223" s="429">
        <v>0.025</v>
      </c>
      <c r="AA223" t="s">
        <v>264</v>
      </c>
    </row>
    <row r="224" spans="7:27" ht="12.75">
      <c r="G224" s="234"/>
      <c r="H224" s="232">
        <v>164</v>
      </c>
      <c r="I224" s="232" t="s">
        <v>43</v>
      </c>
      <c r="J224" s="232" t="s">
        <v>280</v>
      </c>
      <c r="K224" s="232" t="s">
        <v>290</v>
      </c>
      <c r="L224" s="232">
        <v>40</v>
      </c>
      <c r="M224" s="232">
        <v>0.8</v>
      </c>
      <c r="N224" s="232">
        <v>0.7</v>
      </c>
      <c r="O224" s="232">
        <v>6.055173611</v>
      </c>
      <c r="P224" s="429">
        <v>0.1</v>
      </c>
      <c r="Q224" s="429">
        <v>1497.2184634981816</v>
      </c>
      <c r="R224" s="429">
        <v>11977.747707985453</v>
      </c>
      <c r="S224" s="429">
        <v>10480.52924448727</v>
      </c>
      <c r="T224" s="429">
        <v>0.2</v>
      </c>
      <c r="U224" s="429">
        <v>0.6498344025599746</v>
      </c>
      <c r="V224" s="429">
        <v>0.025</v>
      </c>
      <c r="AA224" t="s">
        <v>268</v>
      </c>
    </row>
    <row r="225" spans="7:27" ht="12.75">
      <c r="G225" s="234"/>
      <c r="H225" s="232">
        <v>173</v>
      </c>
      <c r="I225" s="232" t="s">
        <v>43</v>
      </c>
      <c r="J225" s="232" t="s">
        <v>280</v>
      </c>
      <c r="K225" s="232" t="s">
        <v>290</v>
      </c>
      <c r="L225" s="232">
        <v>40</v>
      </c>
      <c r="M225" s="232">
        <v>0.8</v>
      </c>
      <c r="N225" s="232">
        <v>0.7</v>
      </c>
      <c r="O225" s="232">
        <v>6.055173611</v>
      </c>
      <c r="P225" s="429">
        <v>0.1</v>
      </c>
      <c r="Q225" s="429">
        <v>1497.2184634981816</v>
      </c>
      <c r="R225" s="429">
        <v>11977.747707985453</v>
      </c>
      <c r="S225" s="429">
        <v>10480.52924448727</v>
      </c>
      <c r="T225" s="429">
        <v>0.2</v>
      </c>
      <c r="U225" s="429">
        <v>0.6498344025599746</v>
      </c>
      <c r="V225" s="429">
        <v>0.025</v>
      </c>
      <c r="AA225" t="s">
        <v>276</v>
      </c>
    </row>
    <row r="226" spans="7:27" ht="12.75">
      <c r="G226" s="234"/>
      <c r="H226" s="232">
        <v>182</v>
      </c>
      <c r="I226" s="232" t="s">
        <v>43</v>
      </c>
      <c r="J226" s="232" t="s">
        <v>280</v>
      </c>
      <c r="K226" s="232" t="s">
        <v>290</v>
      </c>
      <c r="L226" s="232">
        <v>40</v>
      </c>
      <c r="M226" s="232">
        <v>0.8</v>
      </c>
      <c r="N226" s="232">
        <v>0.7</v>
      </c>
      <c r="O226" s="232">
        <v>6.055173611</v>
      </c>
      <c r="P226" s="429">
        <v>0.1</v>
      </c>
      <c r="Q226" s="429">
        <v>1497.2184634981816</v>
      </c>
      <c r="R226" s="429">
        <v>11977.747707985453</v>
      </c>
      <c r="S226" s="429">
        <v>10480.52924448727</v>
      </c>
      <c r="T226" s="429">
        <v>0.2</v>
      </c>
      <c r="U226" s="429">
        <v>0.6498344025599746</v>
      </c>
      <c r="V226" s="429">
        <v>0.025</v>
      </c>
      <c r="AA226" t="s">
        <v>250</v>
      </c>
    </row>
    <row r="227" spans="7:27" ht="12.75">
      <c r="G227" s="234"/>
      <c r="H227" s="232">
        <v>191</v>
      </c>
      <c r="I227" s="232" t="s">
        <v>43</v>
      </c>
      <c r="J227" s="232" t="s">
        <v>280</v>
      </c>
      <c r="K227" s="232" t="s">
        <v>290</v>
      </c>
      <c r="L227" s="232">
        <v>40</v>
      </c>
      <c r="M227" s="232">
        <v>0.8</v>
      </c>
      <c r="N227" s="232">
        <v>0.7</v>
      </c>
      <c r="O227" s="232">
        <v>6.055173611</v>
      </c>
      <c r="P227" s="429">
        <v>0.1</v>
      </c>
      <c r="Q227" s="429">
        <v>1497.2184634981816</v>
      </c>
      <c r="R227" s="429">
        <v>11977.747707985453</v>
      </c>
      <c r="S227" s="429">
        <v>10480.52924448727</v>
      </c>
      <c r="T227" s="429">
        <v>0.2</v>
      </c>
      <c r="U227" s="429">
        <v>0.6498344025599746</v>
      </c>
      <c r="V227" s="429">
        <v>0.025</v>
      </c>
      <c r="AA227" t="s">
        <v>272</v>
      </c>
    </row>
    <row r="228" spans="7:27" ht="12.75">
      <c r="G228" s="234"/>
      <c r="H228" s="232">
        <v>200</v>
      </c>
      <c r="I228" s="232" t="s">
        <v>43</v>
      </c>
      <c r="J228" s="232" t="s">
        <v>280</v>
      </c>
      <c r="K228" s="232" t="s">
        <v>290</v>
      </c>
      <c r="L228" s="232">
        <v>40</v>
      </c>
      <c r="M228" s="232">
        <v>0.8</v>
      </c>
      <c r="N228" s="232">
        <v>0.7</v>
      </c>
      <c r="O228" s="232">
        <v>6.055173611</v>
      </c>
      <c r="P228" s="429">
        <v>0.1</v>
      </c>
      <c r="Q228" s="429">
        <v>1497.2184634981816</v>
      </c>
      <c r="R228" s="429">
        <v>11977.747707985453</v>
      </c>
      <c r="S228" s="429">
        <v>10480.52924448727</v>
      </c>
      <c r="T228" s="429">
        <v>0.2</v>
      </c>
      <c r="U228" s="429">
        <v>0.6498344025599746</v>
      </c>
      <c r="V228" s="429">
        <v>0.025</v>
      </c>
      <c r="AA228" t="s">
        <v>250</v>
      </c>
    </row>
    <row r="229" spans="7:27" ht="12.75">
      <c r="G229" s="234"/>
      <c r="H229" s="232">
        <v>209</v>
      </c>
      <c r="I229" s="232" t="s">
        <v>43</v>
      </c>
      <c r="J229" s="232" t="s">
        <v>280</v>
      </c>
      <c r="K229" s="232" t="s">
        <v>290</v>
      </c>
      <c r="L229" s="232">
        <v>40</v>
      </c>
      <c r="M229" s="232">
        <v>0.8</v>
      </c>
      <c r="N229" s="232">
        <v>0.7</v>
      </c>
      <c r="O229" s="232">
        <v>6.055173611</v>
      </c>
      <c r="P229" s="429">
        <v>0.1</v>
      </c>
      <c r="Q229" s="429">
        <v>1497.2184634981816</v>
      </c>
      <c r="R229" s="429">
        <v>11977.747707985453</v>
      </c>
      <c r="S229" s="429">
        <v>10480.52924448727</v>
      </c>
      <c r="T229" s="429">
        <v>0.2</v>
      </c>
      <c r="U229" s="429">
        <v>0.6498344025599746</v>
      </c>
      <c r="V229" s="429">
        <v>0.025</v>
      </c>
      <c r="AA229" t="s">
        <v>272</v>
      </c>
    </row>
    <row r="230" spans="7:27" ht="12.75">
      <c r="G230" s="234"/>
      <c r="H230" s="232">
        <v>218</v>
      </c>
      <c r="I230" s="232" t="s">
        <v>43</v>
      </c>
      <c r="J230" s="232" t="s">
        <v>280</v>
      </c>
      <c r="K230" s="232" t="s">
        <v>290</v>
      </c>
      <c r="L230" s="232">
        <v>40</v>
      </c>
      <c r="M230" s="232">
        <v>0.8</v>
      </c>
      <c r="N230" s="232">
        <v>0.7</v>
      </c>
      <c r="O230" s="232">
        <v>6.055173611</v>
      </c>
      <c r="P230" s="429">
        <v>0.1</v>
      </c>
      <c r="Q230" s="429">
        <v>1497.2184634981816</v>
      </c>
      <c r="R230" s="429">
        <v>11977.747707985453</v>
      </c>
      <c r="S230" s="429">
        <v>10480.52924448727</v>
      </c>
      <c r="T230" s="429">
        <v>0.2</v>
      </c>
      <c r="U230" s="429">
        <v>0.6498344025599746</v>
      </c>
      <c r="V230" s="429">
        <v>0.025</v>
      </c>
      <c r="AA230" t="s">
        <v>276</v>
      </c>
    </row>
    <row r="231" spans="7:27" ht="12.75">
      <c r="G231" s="234"/>
      <c r="H231" s="232">
        <v>227</v>
      </c>
      <c r="I231" s="232" t="s">
        <v>43</v>
      </c>
      <c r="J231" s="232" t="s">
        <v>280</v>
      </c>
      <c r="K231" s="232" t="s">
        <v>290</v>
      </c>
      <c r="L231" s="232">
        <v>40</v>
      </c>
      <c r="M231" s="232">
        <v>0.8</v>
      </c>
      <c r="N231" s="232">
        <v>0.7</v>
      </c>
      <c r="O231" s="232">
        <v>6.055173611</v>
      </c>
      <c r="P231" s="429">
        <v>0.1</v>
      </c>
      <c r="Q231" s="429">
        <v>1497.2184634981816</v>
      </c>
      <c r="R231" s="429">
        <v>11977.747707985453</v>
      </c>
      <c r="S231" s="429">
        <v>10480.52924448727</v>
      </c>
      <c r="T231" s="429">
        <v>0.2</v>
      </c>
      <c r="U231" s="429">
        <v>0.6498344025599746</v>
      </c>
      <c r="V231" s="429">
        <v>0.025</v>
      </c>
      <c r="AA231" t="s">
        <v>250</v>
      </c>
    </row>
    <row r="232" spans="7:27" ht="12.75">
      <c r="G232" s="234"/>
      <c r="H232" s="232">
        <v>236</v>
      </c>
      <c r="I232" s="232" t="s">
        <v>43</v>
      </c>
      <c r="J232" s="232" t="s">
        <v>280</v>
      </c>
      <c r="K232" s="232" t="s">
        <v>290</v>
      </c>
      <c r="L232" s="232">
        <v>40</v>
      </c>
      <c r="M232" s="232">
        <v>0.8</v>
      </c>
      <c r="N232" s="232">
        <v>0.7</v>
      </c>
      <c r="O232" s="232">
        <v>6.055173611</v>
      </c>
      <c r="P232" s="429">
        <v>0.1</v>
      </c>
      <c r="Q232" s="429">
        <v>1497.2184634981816</v>
      </c>
      <c r="R232" s="429">
        <v>11977.747707985453</v>
      </c>
      <c r="S232" s="429">
        <v>10480.52924448727</v>
      </c>
      <c r="T232" s="429">
        <v>0.2</v>
      </c>
      <c r="U232" s="429">
        <v>0.6498344025599746</v>
      </c>
      <c r="V232" s="429">
        <v>0.025</v>
      </c>
      <c r="AA232" t="s">
        <v>249</v>
      </c>
    </row>
    <row r="233" spans="7:22" ht="12.75">
      <c r="G233" s="234"/>
      <c r="H233" s="232">
        <v>8</v>
      </c>
      <c r="I233" s="232" t="s">
        <v>45</v>
      </c>
      <c r="J233" s="232" t="str">
        <f>+'Input Data'!I42</f>
        <v>Meas_CD</v>
      </c>
      <c r="K233" s="232"/>
      <c r="L233" s="232">
        <v>200</v>
      </c>
      <c r="M233" s="414">
        <v>0</v>
      </c>
      <c r="N233" s="423"/>
      <c r="O233" s="232">
        <v>0.903689236</v>
      </c>
      <c r="P233" s="426"/>
      <c r="Q233" s="74">
        <f>+WS*LY^(($H233-1)/$B$24)*P233</f>
        <v>0</v>
      </c>
      <c r="R233" s="74">
        <f aca="true" t="shared" si="19" ref="R233:S235">+WS*LY^(($H233-1)/$B$24)*M233</f>
        <v>0</v>
      </c>
      <c r="S233" s="74">
        <f t="shared" si="19"/>
        <v>0</v>
      </c>
      <c r="T233" s="70">
        <f>+'Input Data'!$J$42</f>
        <v>0.65</v>
      </c>
      <c r="U233" s="74">
        <f>+WS*(LY^((+H233-1)/$B$24))*(1/L233)/(1-T233)/720</f>
        <v>0.49585237108283614</v>
      </c>
      <c r="V233" s="74">
        <f aca="true" t="shared" si="20" ref="V233:V243">1/L233</f>
        <v>0.005</v>
      </c>
    </row>
    <row r="234" spans="7:22" ht="12.75">
      <c r="G234" s="234"/>
      <c r="H234" s="232">
        <v>14</v>
      </c>
      <c r="I234" s="232" t="s">
        <v>45</v>
      </c>
      <c r="J234" s="232" t="str">
        <f>+'Input Data'!I42</f>
        <v>Meas_CD</v>
      </c>
      <c r="K234" s="232"/>
      <c r="L234" s="232">
        <v>200</v>
      </c>
      <c r="M234" s="414">
        <v>0</v>
      </c>
      <c r="N234" s="423"/>
      <c r="O234" s="232">
        <v>0.903689236</v>
      </c>
      <c r="P234" s="426"/>
      <c r="Q234" s="74">
        <f>+WS*LY^(($H234-1)/$B$24)*P234</f>
        <v>0</v>
      </c>
      <c r="R234" s="74">
        <f t="shared" si="19"/>
        <v>0</v>
      </c>
      <c r="S234" s="74">
        <f t="shared" si="19"/>
        <v>0</v>
      </c>
      <c r="T234" s="70">
        <f>+'Input Data'!$J$42</f>
        <v>0.65</v>
      </c>
      <c r="U234" s="74">
        <f>+WS*(LY^((+H234-1)/$B$24))*(1/L234)/(1-T234)/720</f>
        <v>0.4956986727551998</v>
      </c>
      <c r="V234" s="74">
        <f t="shared" si="20"/>
        <v>0.005</v>
      </c>
    </row>
    <row r="235" spans="7:22" ht="12.75">
      <c r="G235" s="234"/>
      <c r="H235" s="232">
        <v>30</v>
      </c>
      <c r="I235" s="232" t="s">
        <v>45</v>
      </c>
      <c r="J235" s="232" t="str">
        <f>+'Input Data'!I42</f>
        <v>Meas_CD</v>
      </c>
      <c r="K235" s="232"/>
      <c r="L235" s="232">
        <v>200</v>
      </c>
      <c r="M235" s="414">
        <v>0</v>
      </c>
      <c r="N235" s="423"/>
      <c r="O235" s="232">
        <v>0.903689236</v>
      </c>
      <c r="P235" s="426"/>
      <c r="Q235" s="74">
        <f>+WS*LY^(($H235-1)/$B$24)*P235</f>
        <v>0</v>
      </c>
      <c r="R235" s="74">
        <f t="shared" si="19"/>
        <v>0</v>
      </c>
      <c r="S235" s="74">
        <f t="shared" si="19"/>
        <v>0</v>
      </c>
      <c r="T235" s="70">
        <f>+'Input Data'!$J$42</f>
        <v>0.65</v>
      </c>
      <c r="U235" s="74">
        <f>+WS*(LY^((+H235-1)/$B$24))*(1/L235)/(1-T235)/720</f>
        <v>0.4952890434223111</v>
      </c>
      <c r="V235" s="74">
        <f t="shared" si="20"/>
        <v>0.005</v>
      </c>
    </row>
    <row r="236" spans="7:27" ht="12.75">
      <c r="G236" s="234"/>
      <c r="H236" s="232">
        <v>43</v>
      </c>
      <c r="I236" s="232" t="s">
        <v>45</v>
      </c>
      <c r="J236" s="232" t="str">
        <f>+'Input Data'!I42</f>
        <v>Meas_CD</v>
      </c>
      <c r="K236" s="232"/>
      <c r="L236" s="232">
        <v>200</v>
      </c>
      <c r="M236" s="414">
        <v>0</v>
      </c>
      <c r="N236" s="423"/>
      <c r="O236" s="232">
        <v>0.903689236</v>
      </c>
      <c r="P236" s="426"/>
      <c r="Q236" s="74">
        <f>+WS*LY^(($H264-1)/$B$24)*P236</f>
        <v>0</v>
      </c>
      <c r="R236" s="74">
        <f>+WS*LY^(($H264-1)/$B$24)*M236</f>
        <v>0</v>
      </c>
      <c r="S236" s="74">
        <f>+WS*LY^(($H264-1)/$B$24)*N236</f>
        <v>0</v>
      </c>
      <c r="T236" s="70">
        <f>+'Input Data'!$J$42</f>
        <v>0.65</v>
      </c>
      <c r="U236" s="74">
        <f>+WS*(LY^((+H264-1)/$B$24))*(1/L236)/(1-T236)/720</f>
        <v>0.48827598238872183</v>
      </c>
      <c r="V236" s="74">
        <f t="shared" si="20"/>
        <v>0.005</v>
      </c>
      <c r="AA236" t="s">
        <v>269</v>
      </c>
    </row>
    <row r="237" spans="7:22" ht="12.75">
      <c r="G237" s="234"/>
      <c r="H237" s="232">
        <v>50</v>
      </c>
      <c r="I237" s="232" t="s">
        <v>45</v>
      </c>
      <c r="J237" s="232" t="str">
        <f>+'Input Data'!I42</f>
        <v>Meas_CD</v>
      </c>
      <c r="K237" s="232"/>
      <c r="L237" s="232">
        <v>200</v>
      </c>
      <c r="M237" s="414">
        <v>0</v>
      </c>
      <c r="N237" s="423"/>
      <c r="O237" s="232">
        <v>0.903689236</v>
      </c>
      <c r="P237" s="426"/>
      <c r="Q237" s="74">
        <f>+WS*LY^(($H282-1)/$B$24)*P237</f>
        <v>0</v>
      </c>
      <c r="R237" s="74">
        <f>+WS*LY^(($H282-1)/$B$24)*M237</f>
        <v>0</v>
      </c>
      <c r="S237" s="74">
        <f>+WS*LY^(($H282-1)/$B$24)*N237</f>
        <v>0</v>
      </c>
      <c r="T237" s="70">
        <f>+'Input Data'!$J$42</f>
        <v>0.65</v>
      </c>
      <c r="U237" s="74">
        <f>+WS*(LY^((+H282-1)/$B$24))*(1/L237)/(1-T237)/720</f>
        <v>0.4949053233587914</v>
      </c>
      <c r="V237" s="74">
        <f t="shared" si="20"/>
        <v>0.005</v>
      </c>
    </row>
    <row r="238" spans="7:22" ht="12.75">
      <c r="G238" s="234"/>
      <c r="H238" s="232">
        <v>80</v>
      </c>
      <c r="I238" s="232" t="s">
        <v>45</v>
      </c>
      <c r="J238" s="232" t="str">
        <f>+'Input Data'!I42</f>
        <v>Meas_CD</v>
      </c>
      <c r="K238" s="232"/>
      <c r="L238" s="232">
        <v>200</v>
      </c>
      <c r="M238" s="414">
        <v>0</v>
      </c>
      <c r="N238" s="423"/>
      <c r="O238" s="232">
        <v>0.903689236</v>
      </c>
      <c r="P238" s="426"/>
      <c r="Q238" s="74">
        <f aca="true" t="shared" si="21" ref="Q238:Q243">+WS*LY^(($H396-1)/$B$24)*P238</f>
        <v>0</v>
      </c>
      <c r="R238" s="74">
        <f aca="true" t="shared" si="22" ref="R238:S243">+WS*LY^(($H396-1)/$B$24)*M238</f>
        <v>0</v>
      </c>
      <c r="S238" s="74">
        <f t="shared" si="22"/>
        <v>0</v>
      </c>
      <c r="T238" s="70">
        <f>+'Input Data'!$J$42</f>
        <v>0.65</v>
      </c>
      <c r="U238" s="74">
        <f aca="true" t="shared" si="23" ref="U238:U243">+WS*(LY^((+H396-1)/$B$24))*(1/L238)/(1-T238)/720</f>
        <v>0.4960573763209626</v>
      </c>
      <c r="V238" s="74">
        <f t="shared" si="20"/>
        <v>0.005</v>
      </c>
    </row>
    <row r="239" spans="7:22" ht="12.75">
      <c r="G239" s="234"/>
      <c r="H239" s="232">
        <v>84</v>
      </c>
      <c r="I239" s="232" t="s">
        <v>45</v>
      </c>
      <c r="J239" s="232" t="str">
        <f>+'Input Data'!I42</f>
        <v>Meas_CD</v>
      </c>
      <c r="K239" s="232"/>
      <c r="L239" s="232">
        <v>200</v>
      </c>
      <c r="M239" s="414">
        <v>0</v>
      </c>
      <c r="N239" s="423"/>
      <c r="O239" s="232">
        <v>0.903689236</v>
      </c>
      <c r="P239" s="426"/>
      <c r="Q239" s="74">
        <f t="shared" si="21"/>
        <v>0</v>
      </c>
      <c r="R239" s="74">
        <f t="shared" si="22"/>
        <v>0</v>
      </c>
      <c r="S239" s="74">
        <f t="shared" si="22"/>
        <v>0</v>
      </c>
      <c r="T239" s="70">
        <f>+'Input Data'!$J$42</f>
        <v>0.65</v>
      </c>
      <c r="U239" s="74">
        <f t="shared" si="23"/>
        <v>0.4960573763209626</v>
      </c>
      <c r="V239" s="74">
        <f t="shared" si="20"/>
        <v>0.005</v>
      </c>
    </row>
    <row r="240" spans="7:22" ht="12.75">
      <c r="G240" s="234"/>
      <c r="H240" s="232">
        <v>94</v>
      </c>
      <c r="I240" s="232" t="s">
        <v>45</v>
      </c>
      <c r="J240" s="232" t="str">
        <f>+'Input Data'!I42</f>
        <v>Meas_CD</v>
      </c>
      <c r="K240" s="232"/>
      <c r="L240" s="232">
        <v>200</v>
      </c>
      <c r="M240" s="414">
        <v>0</v>
      </c>
      <c r="N240" s="423"/>
      <c r="O240" s="232">
        <v>0.903689236</v>
      </c>
      <c r="P240" s="426"/>
      <c r="Q240" s="74">
        <f t="shared" si="21"/>
        <v>0</v>
      </c>
      <c r="R240" s="74">
        <f t="shared" si="22"/>
        <v>0</v>
      </c>
      <c r="S240" s="74">
        <f t="shared" si="22"/>
        <v>0</v>
      </c>
      <c r="T240" s="70">
        <f>+'Input Data'!$J$42</f>
        <v>0.65</v>
      </c>
      <c r="U240" s="74">
        <f t="shared" si="23"/>
        <v>0.4960573763209626</v>
      </c>
      <c r="V240" s="74">
        <f t="shared" si="20"/>
        <v>0.005</v>
      </c>
    </row>
    <row r="241" spans="7:22" ht="12.75">
      <c r="G241" s="234"/>
      <c r="H241" s="232">
        <v>98</v>
      </c>
      <c r="I241" s="232" t="s">
        <v>45</v>
      </c>
      <c r="J241" s="232" t="str">
        <f>+'Input Data'!I42</f>
        <v>Meas_CD</v>
      </c>
      <c r="K241" s="232"/>
      <c r="L241" s="232">
        <v>200</v>
      </c>
      <c r="M241" s="414">
        <v>0</v>
      </c>
      <c r="N241" s="423"/>
      <c r="O241" s="232">
        <v>0.903689236</v>
      </c>
      <c r="P241" s="426"/>
      <c r="Q241" s="74">
        <f t="shared" si="21"/>
        <v>0</v>
      </c>
      <c r="R241" s="74">
        <f t="shared" si="22"/>
        <v>0</v>
      </c>
      <c r="S241" s="74">
        <f t="shared" si="22"/>
        <v>0</v>
      </c>
      <c r="T241" s="70">
        <f>+'Input Data'!$J$42</f>
        <v>0.65</v>
      </c>
      <c r="U241" s="74">
        <f t="shared" si="23"/>
        <v>0.4960573763209626</v>
      </c>
      <c r="V241" s="74">
        <f t="shared" si="20"/>
        <v>0.005</v>
      </c>
    </row>
    <row r="242" spans="7:22" ht="12.75">
      <c r="G242" s="234"/>
      <c r="H242" s="232">
        <v>112</v>
      </c>
      <c r="I242" s="232" t="s">
        <v>45</v>
      </c>
      <c r="J242" s="232" t="str">
        <f>+'Input Data'!I42</f>
        <v>Meas_CD</v>
      </c>
      <c r="K242" s="232"/>
      <c r="L242" s="232">
        <v>200</v>
      </c>
      <c r="M242" s="414">
        <v>0</v>
      </c>
      <c r="N242" s="423"/>
      <c r="O242" s="232">
        <v>0.903689236</v>
      </c>
      <c r="P242" s="426"/>
      <c r="Q242" s="74">
        <f t="shared" si="21"/>
        <v>0</v>
      </c>
      <c r="R242" s="74">
        <f t="shared" si="22"/>
        <v>0</v>
      </c>
      <c r="S242" s="74">
        <f t="shared" si="22"/>
        <v>0</v>
      </c>
      <c r="T242" s="70">
        <f>+'Input Data'!$J$42</f>
        <v>0.65</v>
      </c>
      <c r="U242" s="74">
        <f t="shared" si="23"/>
        <v>0.4960573763209626</v>
      </c>
      <c r="V242" s="74">
        <f t="shared" si="20"/>
        <v>0.005</v>
      </c>
    </row>
    <row r="243" spans="7:22" ht="12.75">
      <c r="G243" s="234"/>
      <c r="H243" s="232">
        <v>115</v>
      </c>
      <c r="I243" s="232" t="s">
        <v>45</v>
      </c>
      <c r="J243" s="232" t="str">
        <f>+'Input Data'!I42</f>
        <v>Meas_CD</v>
      </c>
      <c r="K243" s="232"/>
      <c r="L243" s="232">
        <v>200</v>
      </c>
      <c r="M243" s="414">
        <v>0</v>
      </c>
      <c r="N243" s="423"/>
      <c r="O243" s="232">
        <v>0.903689236</v>
      </c>
      <c r="P243" s="426"/>
      <c r="Q243" s="74">
        <f t="shared" si="21"/>
        <v>0</v>
      </c>
      <c r="R243" s="74">
        <f t="shared" si="22"/>
        <v>0</v>
      </c>
      <c r="S243" s="74">
        <f t="shared" si="22"/>
        <v>0</v>
      </c>
      <c r="T243" s="70">
        <f>+'Input Data'!$J$42</f>
        <v>0.65</v>
      </c>
      <c r="U243" s="74">
        <f t="shared" si="23"/>
        <v>0.4960573763209626</v>
      </c>
      <c r="V243" s="74">
        <f t="shared" si="20"/>
        <v>0.005</v>
      </c>
    </row>
    <row r="244" spans="7:22" ht="12.75">
      <c r="G244" s="234"/>
      <c r="H244" s="232">
        <v>131</v>
      </c>
      <c r="I244" s="232" t="s">
        <v>45</v>
      </c>
      <c r="J244" s="232" t="s">
        <v>45</v>
      </c>
      <c r="K244" s="232"/>
      <c r="L244" s="232">
        <v>200</v>
      </c>
      <c r="M244" s="232">
        <v>0</v>
      </c>
      <c r="N244" s="232"/>
      <c r="O244" s="232">
        <v>0.903689236</v>
      </c>
      <c r="P244" s="429"/>
      <c r="Q244" s="429">
        <v>0</v>
      </c>
      <c r="R244" s="429">
        <v>0</v>
      </c>
      <c r="S244" s="429">
        <v>0</v>
      </c>
      <c r="T244" s="429">
        <v>0.65</v>
      </c>
      <c r="U244" s="429">
        <v>0.2970035414822943</v>
      </c>
      <c r="V244" s="429">
        <v>0.005</v>
      </c>
    </row>
    <row r="245" spans="7:22" ht="12.75">
      <c r="G245" s="234"/>
      <c r="H245" s="232">
        <v>140</v>
      </c>
      <c r="I245" s="232" t="s">
        <v>45</v>
      </c>
      <c r="J245" s="232" t="s">
        <v>45</v>
      </c>
      <c r="K245" s="232"/>
      <c r="L245" s="232">
        <v>200</v>
      </c>
      <c r="M245" s="232">
        <v>0</v>
      </c>
      <c r="N245" s="232"/>
      <c r="O245" s="232">
        <v>0.903689236</v>
      </c>
      <c r="P245" s="429"/>
      <c r="Q245" s="429">
        <v>0</v>
      </c>
      <c r="R245" s="429">
        <v>0</v>
      </c>
      <c r="S245" s="429">
        <v>0</v>
      </c>
      <c r="T245" s="429">
        <v>0.65</v>
      </c>
      <c r="U245" s="429">
        <v>0.2970035414822943</v>
      </c>
      <c r="V245" s="429">
        <v>0.005</v>
      </c>
    </row>
    <row r="246" spans="7:27" ht="12.75">
      <c r="G246" s="234"/>
      <c r="H246" s="232">
        <v>149</v>
      </c>
      <c r="I246" s="232" t="s">
        <v>45</v>
      </c>
      <c r="J246" s="232" t="s">
        <v>45</v>
      </c>
      <c r="K246" s="232"/>
      <c r="L246" s="232">
        <v>200</v>
      </c>
      <c r="M246" s="232">
        <v>0</v>
      </c>
      <c r="N246" s="232"/>
      <c r="O246" s="232">
        <v>0.903689236</v>
      </c>
      <c r="P246" s="429"/>
      <c r="Q246" s="429">
        <v>0</v>
      </c>
      <c r="R246" s="429">
        <v>0</v>
      </c>
      <c r="S246" s="429">
        <v>0</v>
      </c>
      <c r="T246" s="429">
        <v>0.65</v>
      </c>
      <c r="U246" s="429">
        <v>0.2970035414822943</v>
      </c>
      <c r="V246" s="429">
        <v>0.005</v>
      </c>
      <c r="AA246" t="s">
        <v>249</v>
      </c>
    </row>
    <row r="247" spans="7:27" ht="12.75">
      <c r="G247" s="234"/>
      <c r="H247" s="232">
        <v>158</v>
      </c>
      <c r="I247" s="232" t="s">
        <v>45</v>
      </c>
      <c r="J247" s="232" t="s">
        <v>45</v>
      </c>
      <c r="K247" s="232"/>
      <c r="L247" s="232">
        <v>200</v>
      </c>
      <c r="M247" s="232">
        <v>0</v>
      </c>
      <c r="N247" s="232"/>
      <c r="O247" s="232">
        <v>0.903689236</v>
      </c>
      <c r="P247" s="429"/>
      <c r="Q247" s="429">
        <v>0</v>
      </c>
      <c r="R247" s="429">
        <v>0</v>
      </c>
      <c r="S247" s="429">
        <v>0</v>
      </c>
      <c r="T247" s="429">
        <v>0.65</v>
      </c>
      <c r="U247" s="429">
        <v>0.2970035414822943</v>
      </c>
      <c r="V247" s="429">
        <v>0.005</v>
      </c>
      <c r="AA247" t="s">
        <v>249</v>
      </c>
    </row>
    <row r="248" spans="7:27" ht="12.75">
      <c r="G248" s="234"/>
      <c r="H248" s="232">
        <v>167</v>
      </c>
      <c r="I248" s="232" t="s">
        <v>45</v>
      </c>
      <c r="J248" s="232" t="s">
        <v>45</v>
      </c>
      <c r="K248" s="232"/>
      <c r="L248" s="232">
        <v>200</v>
      </c>
      <c r="M248" s="232">
        <v>0</v>
      </c>
      <c r="N248" s="232"/>
      <c r="O248" s="232">
        <v>0.903689236</v>
      </c>
      <c r="P248" s="429"/>
      <c r="Q248" s="429">
        <v>0</v>
      </c>
      <c r="R248" s="429">
        <v>0</v>
      </c>
      <c r="S248" s="429">
        <v>0</v>
      </c>
      <c r="T248" s="429">
        <v>0.65</v>
      </c>
      <c r="U248" s="429">
        <v>0.2970035414822943</v>
      </c>
      <c r="V248" s="429">
        <v>0.005</v>
      </c>
      <c r="AA248" t="s">
        <v>249</v>
      </c>
    </row>
    <row r="249" spans="7:27" ht="12.75">
      <c r="G249" s="234"/>
      <c r="H249" s="232">
        <v>176</v>
      </c>
      <c r="I249" s="232" t="s">
        <v>45</v>
      </c>
      <c r="J249" s="232" t="s">
        <v>45</v>
      </c>
      <c r="K249" s="232"/>
      <c r="L249" s="232">
        <v>200</v>
      </c>
      <c r="M249" s="232">
        <v>0</v>
      </c>
      <c r="N249" s="232"/>
      <c r="O249" s="232">
        <v>0.903689236</v>
      </c>
      <c r="P249" s="429"/>
      <c r="Q249" s="429">
        <v>0</v>
      </c>
      <c r="R249" s="429">
        <v>0</v>
      </c>
      <c r="S249" s="429">
        <v>0</v>
      </c>
      <c r="T249" s="429">
        <v>0.65</v>
      </c>
      <c r="U249" s="429">
        <v>0.2970035414822943</v>
      </c>
      <c r="V249" s="429">
        <v>0.005</v>
      </c>
      <c r="AA249" t="s">
        <v>275</v>
      </c>
    </row>
    <row r="250" spans="7:27" ht="12.75">
      <c r="G250" s="234"/>
      <c r="H250" s="232">
        <v>185</v>
      </c>
      <c r="I250" s="232" t="s">
        <v>45</v>
      </c>
      <c r="J250" s="232" t="s">
        <v>45</v>
      </c>
      <c r="K250" s="232"/>
      <c r="L250" s="232">
        <v>200</v>
      </c>
      <c r="M250" s="232">
        <v>0</v>
      </c>
      <c r="N250" s="232"/>
      <c r="O250" s="232">
        <v>0.903689236</v>
      </c>
      <c r="P250" s="429"/>
      <c r="Q250" s="429">
        <v>0</v>
      </c>
      <c r="R250" s="429">
        <v>0</v>
      </c>
      <c r="S250" s="429">
        <v>0</v>
      </c>
      <c r="T250" s="429">
        <v>0.65</v>
      </c>
      <c r="U250" s="429">
        <v>0.2970035414822943</v>
      </c>
      <c r="V250" s="429">
        <v>0.005</v>
      </c>
      <c r="AA250" t="s">
        <v>249</v>
      </c>
    </row>
    <row r="251" spans="7:27" ht="12.75">
      <c r="G251" s="234"/>
      <c r="H251" s="232">
        <v>194</v>
      </c>
      <c r="I251" s="232" t="s">
        <v>45</v>
      </c>
      <c r="J251" s="232" t="s">
        <v>45</v>
      </c>
      <c r="K251" s="232"/>
      <c r="L251" s="232">
        <v>200</v>
      </c>
      <c r="M251" s="232">
        <v>0</v>
      </c>
      <c r="N251" s="232"/>
      <c r="O251" s="232">
        <v>0.903689236</v>
      </c>
      <c r="P251" s="429"/>
      <c r="Q251" s="429">
        <v>0</v>
      </c>
      <c r="R251" s="429">
        <v>0</v>
      </c>
      <c r="S251" s="429">
        <v>0</v>
      </c>
      <c r="T251" s="429">
        <v>0.65</v>
      </c>
      <c r="U251" s="429">
        <v>0.2970035414822943</v>
      </c>
      <c r="V251" s="429">
        <v>0.005</v>
      </c>
      <c r="AA251" t="s">
        <v>249</v>
      </c>
    </row>
    <row r="252" spans="7:27" ht="12.75">
      <c r="G252" s="234"/>
      <c r="H252" s="232">
        <v>203</v>
      </c>
      <c r="I252" s="232" t="s">
        <v>45</v>
      </c>
      <c r="J252" s="232" t="s">
        <v>45</v>
      </c>
      <c r="K252" s="232"/>
      <c r="L252" s="232">
        <v>200</v>
      </c>
      <c r="M252" s="232">
        <v>0</v>
      </c>
      <c r="N252" s="232"/>
      <c r="O252" s="232">
        <v>0.903689236</v>
      </c>
      <c r="P252" s="429"/>
      <c r="Q252" s="429">
        <v>0</v>
      </c>
      <c r="R252" s="429">
        <v>0</v>
      </c>
      <c r="S252" s="429">
        <v>0</v>
      </c>
      <c r="T252" s="429">
        <v>0.65</v>
      </c>
      <c r="U252" s="429">
        <v>0.2970035414822943</v>
      </c>
      <c r="V252" s="429">
        <v>0.005</v>
      </c>
      <c r="AA252" t="s">
        <v>249</v>
      </c>
    </row>
    <row r="253" spans="7:27" ht="12.75">
      <c r="G253" s="234"/>
      <c r="H253" s="232">
        <v>212</v>
      </c>
      <c r="I253" s="232" t="s">
        <v>45</v>
      </c>
      <c r="J253" s="232" t="s">
        <v>45</v>
      </c>
      <c r="K253" s="232"/>
      <c r="L253" s="232">
        <v>200</v>
      </c>
      <c r="M253" s="232">
        <v>0</v>
      </c>
      <c r="N253" s="232"/>
      <c r="O253" s="232">
        <v>0.903689236</v>
      </c>
      <c r="P253" s="429"/>
      <c r="Q253" s="429">
        <v>0</v>
      </c>
      <c r="R253" s="429">
        <v>0</v>
      </c>
      <c r="S253" s="429">
        <v>0</v>
      </c>
      <c r="T253" s="429">
        <v>0.65</v>
      </c>
      <c r="U253" s="429">
        <v>0.2970035414822943</v>
      </c>
      <c r="V253" s="429">
        <v>0.005</v>
      </c>
      <c r="AA253" t="s">
        <v>249</v>
      </c>
    </row>
    <row r="254" spans="7:27" ht="12.75">
      <c r="G254" s="234"/>
      <c r="H254" s="232">
        <v>221</v>
      </c>
      <c r="I254" s="232" t="s">
        <v>45</v>
      </c>
      <c r="J254" s="232" t="s">
        <v>45</v>
      </c>
      <c r="K254" s="232"/>
      <c r="L254" s="232">
        <v>200</v>
      </c>
      <c r="M254" s="232">
        <v>0</v>
      </c>
      <c r="N254" s="232"/>
      <c r="O254" s="232">
        <v>0.903689236</v>
      </c>
      <c r="P254" s="429"/>
      <c r="Q254" s="429">
        <v>0</v>
      </c>
      <c r="R254" s="429">
        <v>0</v>
      </c>
      <c r="S254" s="429">
        <v>0</v>
      </c>
      <c r="T254" s="429">
        <v>0.65</v>
      </c>
      <c r="U254" s="429">
        <v>0.2970035414822943</v>
      </c>
      <c r="V254" s="429">
        <v>0.005</v>
      </c>
      <c r="AA254" t="s">
        <v>249</v>
      </c>
    </row>
    <row r="255" spans="7:27" ht="12.75">
      <c r="G255" s="234"/>
      <c r="H255" s="232">
        <v>230</v>
      </c>
      <c r="I255" s="232" t="s">
        <v>45</v>
      </c>
      <c r="J255" s="232" t="s">
        <v>45</v>
      </c>
      <c r="K255" s="232"/>
      <c r="L255" s="232">
        <v>200</v>
      </c>
      <c r="M255" s="232">
        <v>0</v>
      </c>
      <c r="N255" s="232"/>
      <c r="O255" s="232">
        <v>0.903689236</v>
      </c>
      <c r="P255" s="429"/>
      <c r="Q255" s="429">
        <v>0</v>
      </c>
      <c r="R255" s="429">
        <v>0</v>
      </c>
      <c r="S255" s="429">
        <v>0</v>
      </c>
      <c r="T255" s="429">
        <v>0.65</v>
      </c>
      <c r="U255" s="429">
        <v>0.2970035414822943</v>
      </c>
      <c r="V255" s="429">
        <v>0.005</v>
      </c>
      <c r="AA255" t="s">
        <v>250</v>
      </c>
    </row>
    <row r="256" spans="7:27" ht="12.75">
      <c r="G256" s="234"/>
      <c r="H256" s="232">
        <v>239</v>
      </c>
      <c r="I256" s="232" t="s">
        <v>45</v>
      </c>
      <c r="J256" s="232" t="s">
        <v>45</v>
      </c>
      <c r="K256" s="232"/>
      <c r="L256" s="232">
        <v>200</v>
      </c>
      <c r="M256" s="232">
        <v>0</v>
      </c>
      <c r="N256" s="232"/>
      <c r="O256" s="232">
        <v>0.903689236</v>
      </c>
      <c r="P256" s="429"/>
      <c r="Q256" s="429">
        <v>0</v>
      </c>
      <c r="R256" s="429">
        <v>0</v>
      </c>
      <c r="S256" s="429">
        <v>0</v>
      </c>
      <c r="T256" s="429">
        <v>0.65</v>
      </c>
      <c r="U256" s="429">
        <v>0.2970035414822943</v>
      </c>
      <c r="V256" s="429">
        <v>0.005</v>
      </c>
      <c r="AA256" t="s">
        <v>278</v>
      </c>
    </row>
    <row r="257" spans="7:27" ht="12.75">
      <c r="G257" s="234"/>
      <c r="H257" s="232">
        <v>252</v>
      </c>
      <c r="I257" s="232" t="s">
        <v>45</v>
      </c>
      <c r="J257" s="232" t="s">
        <v>45</v>
      </c>
      <c r="K257" s="232"/>
      <c r="L257" s="232">
        <v>200</v>
      </c>
      <c r="M257" s="232">
        <v>0</v>
      </c>
      <c r="N257" s="232"/>
      <c r="O257" s="232">
        <v>0.903689236</v>
      </c>
      <c r="P257" s="429"/>
      <c r="Q257" s="429">
        <v>0</v>
      </c>
      <c r="R257" s="429">
        <v>0</v>
      </c>
      <c r="S257" s="429">
        <v>0</v>
      </c>
      <c r="T257" s="429">
        <v>0.65</v>
      </c>
      <c r="U257" s="429">
        <v>0.2964951198505537</v>
      </c>
      <c r="V257" s="429">
        <v>0.005</v>
      </c>
      <c r="AA257" t="s">
        <v>283</v>
      </c>
    </row>
    <row r="258" spans="7:27" ht="12.75">
      <c r="G258" s="234"/>
      <c r="H258" s="232">
        <v>259</v>
      </c>
      <c r="I258" s="232" t="s">
        <v>45</v>
      </c>
      <c r="J258" s="232" t="s">
        <v>45</v>
      </c>
      <c r="K258" s="232"/>
      <c r="L258" s="232">
        <v>200</v>
      </c>
      <c r="M258" s="232">
        <v>0</v>
      </c>
      <c r="N258" s="232"/>
      <c r="O258" s="232">
        <v>0.903689236</v>
      </c>
      <c r="P258" s="429"/>
      <c r="Q258" s="429">
        <v>0</v>
      </c>
      <c r="R258" s="429">
        <v>0</v>
      </c>
      <c r="S258" s="429">
        <v>0</v>
      </c>
      <c r="T258" s="429">
        <v>0.65</v>
      </c>
      <c r="U258" s="429">
        <v>0.29634699421757227</v>
      </c>
      <c r="V258" s="429">
        <v>0.005</v>
      </c>
      <c r="AA258" t="s">
        <v>261</v>
      </c>
    </row>
    <row r="259" spans="7:27" ht="12.75">
      <c r="G259" s="234"/>
      <c r="H259" s="232">
        <v>269</v>
      </c>
      <c r="I259" s="232" t="s">
        <v>45</v>
      </c>
      <c r="J259" s="232" t="s">
        <v>45</v>
      </c>
      <c r="K259" s="232"/>
      <c r="L259" s="232">
        <v>200</v>
      </c>
      <c r="M259" s="232">
        <v>0</v>
      </c>
      <c r="N259" s="232"/>
      <c r="O259" s="232">
        <v>0.903689236</v>
      </c>
      <c r="P259" s="429"/>
      <c r="Q259" s="429">
        <v>0</v>
      </c>
      <c r="R259" s="429">
        <v>0</v>
      </c>
      <c r="S259" s="429">
        <v>0</v>
      </c>
      <c r="T259" s="429">
        <v>0.65</v>
      </c>
      <c r="U259" s="429">
        <v>0.2947014494586661</v>
      </c>
      <c r="V259" s="429">
        <v>0.005</v>
      </c>
      <c r="AA259" t="s">
        <v>250</v>
      </c>
    </row>
    <row r="260" spans="7:27" ht="12.75">
      <c r="G260" s="234"/>
      <c r="H260" s="232">
        <v>273</v>
      </c>
      <c r="I260" s="232" t="s">
        <v>45</v>
      </c>
      <c r="J260" s="232" t="s">
        <v>45</v>
      </c>
      <c r="K260" s="232"/>
      <c r="L260" s="232">
        <v>200</v>
      </c>
      <c r="M260" s="232">
        <v>0</v>
      </c>
      <c r="N260" s="232"/>
      <c r="O260" s="232">
        <v>0.903689236</v>
      </c>
      <c r="P260" s="429"/>
      <c r="Q260" s="429">
        <v>0</v>
      </c>
      <c r="R260" s="429">
        <v>0</v>
      </c>
      <c r="S260" s="429">
        <v>0</v>
      </c>
      <c r="T260" s="429">
        <v>0.65</v>
      </c>
      <c r="U260" s="429">
        <v>0.2946173092868021</v>
      </c>
      <c r="V260" s="429">
        <v>0.005</v>
      </c>
      <c r="AA260" t="s">
        <v>270</v>
      </c>
    </row>
    <row r="261" spans="7:27" ht="12.75">
      <c r="G261" s="234"/>
      <c r="H261" s="232">
        <v>287</v>
      </c>
      <c r="I261" s="232" t="s">
        <v>45</v>
      </c>
      <c r="J261" s="232" t="s">
        <v>45</v>
      </c>
      <c r="K261" s="232"/>
      <c r="L261" s="232">
        <v>200</v>
      </c>
      <c r="M261" s="232">
        <v>0</v>
      </c>
      <c r="N261" s="232"/>
      <c r="O261" s="232">
        <v>0.903689236</v>
      </c>
      <c r="P261" s="429"/>
      <c r="Q261" s="429">
        <v>0</v>
      </c>
      <c r="R261" s="429">
        <v>0</v>
      </c>
      <c r="S261" s="429">
        <v>0</v>
      </c>
      <c r="T261" s="429">
        <v>0.65</v>
      </c>
      <c r="U261" s="429">
        <v>0.2943230078202108</v>
      </c>
      <c r="V261" s="429">
        <v>0.005</v>
      </c>
      <c r="AA261" t="s">
        <v>252</v>
      </c>
    </row>
    <row r="262" spans="7:27" ht="12.75">
      <c r="G262" s="234"/>
      <c r="H262" s="232">
        <v>290</v>
      </c>
      <c r="I262" s="232" t="s">
        <v>45</v>
      </c>
      <c r="J262" s="232" t="s">
        <v>45</v>
      </c>
      <c r="K262" s="232"/>
      <c r="L262" s="232">
        <v>200</v>
      </c>
      <c r="M262" s="232">
        <v>0</v>
      </c>
      <c r="N262" s="232"/>
      <c r="O262" s="232">
        <v>0.903689236</v>
      </c>
      <c r="P262" s="429"/>
      <c r="Q262" s="429">
        <v>0</v>
      </c>
      <c r="R262" s="429">
        <v>0</v>
      </c>
      <c r="S262" s="429">
        <v>0</v>
      </c>
      <c r="T262" s="429">
        <v>0.65</v>
      </c>
      <c r="U262" s="429">
        <v>0.2942599814784117</v>
      </c>
      <c r="V262" s="429">
        <v>0.005</v>
      </c>
      <c r="AA262" t="s">
        <v>275</v>
      </c>
    </row>
    <row r="263" spans="7:27" ht="12.75">
      <c r="G263" s="234"/>
      <c r="H263" s="232">
        <v>302</v>
      </c>
      <c r="I263" s="232" t="s">
        <v>45</v>
      </c>
      <c r="J263" s="232" t="s">
        <v>45</v>
      </c>
      <c r="K263" s="232"/>
      <c r="L263" s="232">
        <v>200</v>
      </c>
      <c r="M263" s="414">
        <v>0</v>
      </c>
      <c r="N263" s="423"/>
      <c r="O263" s="232">
        <v>0.903689236</v>
      </c>
      <c r="P263" s="426"/>
      <c r="Q263" s="426">
        <v>0</v>
      </c>
      <c r="R263" s="426">
        <v>0</v>
      </c>
      <c r="S263" s="426">
        <v>0</v>
      </c>
      <c r="T263" s="429">
        <v>0.65</v>
      </c>
      <c r="U263" s="426">
        <v>0.2947014494586661</v>
      </c>
      <c r="V263" s="426">
        <v>0.005</v>
      </c>
      <c r="AA263" t="s">
        <v>252</v>
      </c>
    </row>
    <row r="264" spans="7:27" ht="12.75">
      <c r="G264" s="234"/>
      <c r="H264" s="232">
        <v>306</v>
      </c>
      <c r="I264" s="232" t="s">
        <v>45</v>
      </c>
      <c r="J264" s="232" t="s">
        <v>45</v>
      </c>
      <c r="K264" s="232"/>
      <c r="L264" s="232">
        <v>200</v>
      </c>
      <c r="M264" s="414">
        <v>0</v>
      </c>
      <c r="N264" s="423"/>
      <c r="O264" s="232">
        <v>0.903689236</v>
      </c>
      <c r="P264" s="426"/>
      <c r="Q264" s="426">
        <v>0</v>
      </c>
      <c r="R264" s="426">
        <v>0</v>
      </c>
      <c r="S264" s="426">
        <v>0</v>
      </c>
      <c r="T264" s="429">
        <v>0.65</v>
      </c>
      <c r="U264" s="426">
        <v>0.2946173092868021</v>
      </c>
      <c r="V264" s="426">
        <v>0.005</v>
      </c>
      <c r="AA264" t="s">
        <v>280</v>
      </c>
    </row>
    <row r="265" spans="7:27" ht="12.75">
      <c r="G265" s="234"/>
      <c r="H265" s="232">
        <v>320</v>
      </c>
      <c r="I265" s="232" t="s">
        <v>45</v>
      </c>
      <c r="J265" s="232" t="s">
        <v>45</v>
      </c>
      <c r="K265" s="232"/>
      <c r="L265" s="232">
        <v>200</v>
      </c>
      <c r="M265" s="232">
        <v>0</v>
      </c>
      <c r="N265" s="232"/>
      <c r="O265" s="232">
        <v>0.903689236</v>
      </c>
      <c r="P265" s="429"/>
      <c r="Q265" s="429">
        <v>0</v>
      </c>
      <c r="R265" s="429">
        <v>0</v>
      </c>
      <c r="S265" s="429">
        <v>0</v>
      </c>
      <c r="T265" s="429">
        <v>0.65</v>
      </c>
      <c r="U265" s="429">
        <v>0.2943230078202108</v>
      </c>
      <c r="V265" s="429">
        <v>0.005</v>
      </c>
      <c r="AA265" t="s">
        <v>255</v>
      </c>
    </row>
    <row r="266" spans="7:27" ht="12.75">
      <c r="G266" s="234"/>
      <c r="H266" s="232">
        <v>323</v>
      </c>
      <c r="I266" s="232" t="s">
        <v>45</v>
      </c>
      <c r="J266" s="232" t="s">
        <v>45</v>
      </c>
      <c r="K266" s="232"/>
      <c r="L266" s="232">
        <v>200</v>
      </c>
      <c r="M266" s="232">
        <v>0</v>
      </c>
      <c r="N266" s="232"/>
      <c r="O266" s="232">
        <v>0.903689236</v>
      </c>
      <c r="P266" s="429"/>
      <c r="Q266" s="429">
        <v>0</v>
      </c>
      <c r="R266" s="429">
        <v>0</v>
      </c>
      <c r="S266" s="429">
        <v>0</v>
      </c>
      <c r="T266" s="429">
        <v>0.65</v>
      </c>
      <c r="U266" s="429">
        <v>0.2942599814784117</v>
      </c>
      <c r="V266" s="429">
        <v>0.005</v>
      </c>
      <c r="AA266" t="s">
        <v>276</v>
      </c>
    </row>
    <row r="267" spans="7:27" ht="12.75">
      <c r="G267" s="234"/>
      <c r="H267" s="232">
        <v>335</v>
      </c>
      <c r="I267" s="232" t="s">
        <v>45</v>
      </c>
      <c r="J267" s="232" t="s">
        <v>45</v>
      </c>
      <c r="K267" s="232"/>
      <c r="L267" s="232">
        <v>200</v>
      </c>
      <c r="M267" s="232">
        <v>0</v>
      </c>
      <c r="N267" s="232"/>
      <c r="O267" s="232">
        <v>0.903689236</v>
      </c>
      <c r="P267" s="429"/>
      <c r="Q267" s="429">
        <v>0</v>
      </c>
      <c r="R267" s="429">
        <v>0</v>
      </c>
      <c r="S267" s="429">
        <v>0</v>
      </c>
      <c r="T267" s="429">
        <v>0.65</v>
      </c>
      <c r="U267" s="429">
        <v>0.2947014494586661</v>
      </c>
      <c r="V267" s="429">
        <v>0.005</v>
      </c>
      <c r="AA267" t="s">
        <v>255</v>
      </c>
    </row>
    <row r="268" spans="7:27" ht="12.75">
      <c r="G268" s="234"/>
      <c r="H268" s="232">
        <v>339</v>
      </c>
      <c r="I268" s="232" t="s">
        <v>45</v>
      </c>
      <c r="J268" s="232" t="s">
        <v>45</v>
      </c>
      <c r="K268" s="232"/>
      <c r="L268" s="232">
        <v>200</v>
      </c>
      <c r="M268" s="232">
        <v>0</v>
      </c>
      <c r="N268" s="232"/>
      <c r="O268" s="232">
        <v>0.903689236</v>
      </c>
      <c r="P268" s="429"/>
      <c r="Q268" s="429">
        <v>0</v>
      </c>
      <c r="R268" s="429">
        <v>0</v>
      </c>
      <c r="S268" s="429">
        <v>0</v>
      </c>
      <c r="T268" s="429">
        <v>0.65</v>
      </c>
      <c r="U268" s="429">
        <v>0.2946173092868021</v>
      </c>
      <c r="V268" s="429">
        <v>0.005</v>
      </c>
      <c r="AA268" t="s">
        <v>46</v>
      </c>
    </row>
    <row r="269" spans="7:27" ht="12.75">
      <c r="G269" s="234"/>
      <c r="H269" s="232">
        <v>353</v>
      </c>
      <c r="I269" s="232" t="s">
        <v>45</v>
      </c>
      <c r="J269" s="232" t="s">
        <v>45</v>
      </c>
      <c r="K269" s="232"/>
      <c r="L269" s="232">
        <v>200</v>
      </c>
      <c r="M269" s="232">
        <v>0</v>
      </c>
      <c r="N269" s="232"/>
      <c r="O269" s="232">
        <v>0.903689236</v>
      </c>
      <c r="P269" s="429"/>
      <c r="Q269" s="429">
        <v>0</v>
      </c>
      <c r="R269" s="429">
        <v>0</v>
      </c>
      <c r="S269" s="429">
        <v>0</v>
      </c>
      <c r="T269" s="429">
        <v>0.65</v>
      </c>
      <c r="U269" s="429">
        <v>0.2943230078202108</v>
      </c>
      <c r="V269" s="429">
        <v>0.005</v>
      </c>
      <c r="AA269" t="s">
        <v>253</v>
      </c>
    </row>
    <row r="270" spans="7:27" ht="12.75">
      <c r="G270" s="234"/>
      <c r="H270" s="232">
        <v>356</v>
      </c>
      <c r="I270" s="232" t="s">
        <v>45</v>
      </c>
      <c r="J270" s="232" t="s">
        <v>45</v>
      </c>
      <c r="K270" s="232"/>
      <c r="L270" s="232">
        <v>200</v>
      </c>
      <c r="M270" s="232">
        <v>0</v>
      </c>
      <c r="N270" s="232"/>
      <c r="O270" s="232">
        <v>0.903689236</v>
      </c>
      <c r="P270" s="429"/>
      <c r="Q270" s="429">
        <v>0</v>
      </c>
      <c r="R270" s="429">
        <v>0</v>
      </c>
      <c r="S270" s="429">
        <v>0</v>
      </c>
      <c r="T270" s="429">
        <v>0.65</v>
      </c>
      <c r="U270" s="429">
        <v>0.2942599814784117</v>
      </c>
      <c r="V270" s="429">
        <v>0.005</v>
      </c>
      <c r="AA270" t="s">
        <v>277</v>
      </c>
    </row>
    <row r="271" spans="7:27" ht="12.75">
      <c r="G271" s="234"/>
      <c r="H271" s="232">
        <v>368</v>
      </c>
      <c r="I271" s="232" t="s">
        <v>45</v>
      </c>
      <c r="J271" s="232" t="s">
        <v>45</v>
      </c>
      <c r="K271" s="232"/>
      <c r="L271" s="232">
        <v>200</v>
      </c>
      <c r="M271" s="232">
        <v>0</v>
      </c>
      <c r="N271" s="232"/>
      <c r="O271" s="232">
        <v>0.903689236</v>
      </c>
      <c r="P271" s="429"/>
      <c r="Q271" s="429">
        <v>0</v>
      </c>
      <c r="R271" s="429">
        <v>0</v>
      </c>
      <c r="S271" s="429">
        <v>0</v>
      </c>
      <c r="T271" s="429">
        <v>0.65</v>
      </c>
      <c r="U271" s="429">
        <v>0.2947014494586661</v>
      </c>
      <c r="V271" s="429">
        <v>0.005</v>
      </c>
      <c r="AA271" t="s">
        <v>255</v>
      </c>
    </row>
    <row r="272" spans="7:22" ht="12.75">
      <c r="G272" s="234"/>
      <c r="H272" s="232">
        <v>372</v>
      </c>
      <c r="I272" s="232" t="s">
        <v>45</v>
      </c>
      <c r="J272" s="232" t="s">
        <v>45</v>
      </c>
      <c r="K272" s="232"/>
      <c r="L272" s="232">
        <v>200</v>
      </c>
      <c r="M272" s="232">
        <v>0</v>
      </c>
      <c r="N272" s="232"/>
      <c r="O272" s="232">
        <v>0.903689236</v>
      </c>
      <c r="P272" s="429"/>
      <c r="Q272" s="429">
        <v>0</v>
      </c>
      <c r="R272" s="429">
        <v>0</v>
      </c>
      <c r="S272" s="429">
        <v>0</v>
      </c>
      <c r="T272" s="429">
        <v>0.65</v>
      </c>
      <c r="U272" s="429">
        <v>0.2946173092868021</v>
      </c>
      <c r="V272" s="429">
        <v>0.005</v>
      </c>
    </row>
    <row r="273" spans="7:27" ht="12.75">
      <c r="G273" s="234"/>
      <c r="H273" s="232">
        <v>386</v>
      </c>
      <c r="I273" s="232" t="s">
        <v>45</v>
      </c>
      <c r="J273" s="232" t="s">
        <v>45</v>
      </c>
      <c r="K273" s="232"/>
      <c r="L273" s="232">
        <v>200</v>
      </c>
      <c r="M273" s="232">
        <v>0</v>
      </c>
      <c r="N273" s="232"/>
      <c r="O273" s="232">
        <v>0.903689236</v>
      </c>
      <c r="P273" s="429"/>
      <c r="Q273" s="429">
        <v>0</v>
      </c>
      <c r="R273" s="429">
        <v>0</v>
      </c>
      <c r="S273" s="429">
        <v>0</v>
      </c>
      <c r="T273" s="429">
        <v>0.65</v>
      </c>
      <c r="U273" s="429">
        <v>0.2943230078202108</v>
      </c>
      <c r="V273" s="429">
        <v>0.005</v>
      </c>
      <c r="AA273" t="s">
        <v>254</v>
      </c>
    </row>
    <row r="274" spans="7:27" ht="12.75">
      <c r="G274" s="234"/>
      <c r="H274" s="232">
        <v>389</v>
      </c>
      <c r="I274" s="232" t="s">
        <v>45</v>
      </c>
      <c r="J274" s="232" t="s">
        <v>45</v>
      </c>
      <c r="K274" s="232"/>
      <c r="L274" s="232">
        <v>200</v>
      </c>
      <c r="M274" s="232">
        <v>0</v>
      </c>
      <c r="N274" s="232"/>
      <c r="O274" s="232">
        <v>0.903689236</v>
      </c>
      <c r="P274" s="429"/>
      <c r="Q274" s="429">
        <v>0</v>
      </c>
      <c r="R274" s="429">
        <v>0</v>
      </c>
      <c r="S274" s="429">
        <v>0</v>
      </c>
      <c r="T274" s="429">
        <v>0.65</v>
      </c>
      <c r="U274" s="429">
        <v>0.2942599814784117</v>
      </c>
      <c r="V274" s="429">
        <v>0.005</v>
      </c>
      <c r="AA274" t="s">
        <v>278</v>
      </c>
    </row>
    <row r="275" spans="7:27" ht="12.75">
      <c r="G275" s="234"/>
      <c r="H275" s="232">
        <v>3</v>
      </c>
      <c r="I275" s="232" t="s">
        <v>46</v>
      </c>
      <c r="J275" s="232" t="str">
        <f>+'Input Data'!I43</f>
        <v>Meas_Film</v>
      </c>
      <c r="K275" s="232"/>
      <c r="L275" s="232">
        <v>200</v>
      </c>
      <c r="M275" s="414">
        <v>0</v>
      </c>
      <c r="N275" s="423"/>
      <c r="O275" s="232">
        <v>0.483333333</v>
      </c>
      <c r="P275" s="426"/>
      <c r="Q275" s="74">
        <f>+WS*LY^(($H275-1)/$B$24)*P275</f>
        <v>0</v>
      </c>
      <c r="R275" s="74">
        <f aca="true" t="shared" si="24" ref="R275:S279">+WS*LY^(($H275-1)/$B$24)*M275</f>
        <v>0</v>
      </c>
      <c r="S275" s="74">
        <f t="shared" si="24"/>
        <v>0</v>
      </c>
      <c r="T275" s="70">
        <f>+'Input Data'!$J$43</f>
        <v>0.65</v>
      </c>
      <c r="U275" s="74">
        <f>+WS*(LY^((+H275-1)/$B$24))*(1/L275)/(1-T275)/720</f>
        <v>0.49598048942604145</v>
      </c>
      <c r="V275" s="74">
        <f aca="true" t="shared" si="25" ref="V275:V290">1/L275</f>
        <v>0.005</v>
      </c>
      <c r="AA275" t="s">
        <v>249</v>
      </c>
    </row>
    <row r="276" spans="7:27" ht="12.75">
      <c r="G276" s="234"/>
      <c r="H276" s="232">
        <v>5</v>
      </c>
      <c r="I276" s="232" t="s">
        <v>46</v>
      </c>
      <c r="J276" s="232" t="str">
        <f>+'Input Data'!I43</f>
        <v>Meas_Film</v>
      </c>
      <c r="K276" s="232"/>
      <c r="L276" s="232">
        <v>200</v>
      </c>
      <c r="M276" s="414">
        <v>0</v>
      </c>
      <c r="N276" s="423"/>
      <c r="O276" s="232">
        <v>0.483333333</v>
      </c>
      <c r="P276" s="426"/>
      <c r="Q276" s="74">
        <f>+WS*LY^(($H276-1)/$B$24)*P276</f>
        <v>0</v>
      </c>
      <c r="R276" s="74">
        <f t="shared" si="24"/>
        <v>0</v>
      </c>
      <c r="S276" s="74">
        <f t="shared" si="24"/>
        <v>0</v>
      </c>
      <c r="T276" s="70">
        <f>+'Input Data'!$J$43</f>
        <v>0.65</v>
      </c>
      <c r="U276" s="74">
        <f>+WS*(LY^((+H276-1)/$B$24))*(1/L276)/(1-T276)/720</f>
        <v>0.4959292381168519</v>
      </c>
      <c r="V276" s="74">
        <f t="shared" si="25"/>
        <v>0.005</v>
      </c>
      <c r="AA276" t="s">
        <v>250</v>
      </c>
    </row>
    <row r="277" spans="7:27" ht="12.75">
      <c r="G277" s="234"/>
      <c r="H277" s="232">
        <v>17</v>
      </c>
      <c r="I277" s="232" t="s">
        <v>46</v>
      </c>
      <c r="J277" s="232" t="str">
        <f>+'Input Data'!I43</f>
        <v>Meas_Film</v>
      </c>
      <c r="K277" s="232"/>
      <c r="L277" s="232">
        <v>200</v>
      </c>
      <c r="M277" s="414">
        <v>0</v>
      </c>
      <c r="N277" s="423"/>
      <c r="O277" s="232">
        <v>0.483333333</v>
      </c>
      <c r="P277" s="426"/>
      <c r="Q277" s="74">
        <f>+WS*LY^(($H277-1)/$B$24)*P277</f>
        <v>0</v>
      </c>
      <c r="R277" s="74">
        <f t="shared" si="24"/>
        <v>0</v>
      </c>
      <c r="S277" s="74">
        <f t="shared" si="24"/>
        <v>0</v>
      </c>
      <c r="T277" s="70">
        <f>+'Input Data'!$J$43</f>
        <v>0.65</v>
      </c>
      <c r="U277" s="74">
        <f>+WS*(LY^((+H277-1)/$B$24))*(1/L277)/(1-T277)/720</f>
        <v>0.4956218414578862</v>
      </c>
      <c r="V277" s="74">
        <f t="shared" si="25"/>
        <v>0.005</v>
      </c>
      <c r="AA277" t="s">
        <v>258</v>
      </c>
    </row>
    <row r="278" spans="7:27" ht="12.75">
      <c r="G278" s="234"/>
      <c r="H278" s="232">
        <v>19</v>
      </c>
      <c r="I278" s="232" t="s">
        <v>46</v>
      </c>
      <c r="J278" s="232" t="str">
        <f>+'Input Data'!I43</f>
        <v>Meas_Film</v>
      </c>
      <c r="K278" s="232"/>
      <c r="L278" s="232">
        <v>200</v>
      </c>
      <c r="M278" s="414">
        <v>0</v>
      </c>
      <c r="N278" s="423"/>
      <c r="O278" s="232">
        <v>0.483333333</v>
      </c>
      <c r="P278" s="426"/>
      <c r="Q278" s="74">
        <f>+WS*LY^(($H278-1)/$B$24)*P278</f>
        <v>0</v>
      </c>
      <c r="R278" s="74">
        <f t="shared" si="24"/>
        <v>0</v>
      </c>
      <c r="S278" s="74">
        <f t="shared" si="24"/>
        <v>0</v>
      </c>
      <c r="T278" s="70">
        <f>+'Input Data'!$J$43</f>
        <v>0.65</v>
      </c>
      <c r="U278" s="74">
        <f>+WS*(LY^((+H278-1)/$B$24))*(1/L278)/(1-T278)/720</f>
        <v>0.49557062720898093</v>
      </c>
      <c r="V278" s="74">
        <f t="shared" si="25"/>
        <v>0.005</v>
      </c>
      <c r="AA278" t="s">
        <v>257</v>
      </c>
    </row>
    <row r="279" spans="7:22" ht="12.75">
      <c r="G279" s="234"/>
      <c r="H279" s="232">
        <v>26</v>
      </c>
      <c r="I279" s="232" t="s">
        <v>46</v>
      </c>
      <c r="J279" s="232" t="str">
        <f>+'Input Data'!I43</f>
        <v>Meas_Film</v>
      </c>
      <c r="K279" s="232"/>
      <c r="L279" s="232">
        <v>200</v>
      </c>
      <c r="M279" s="414">
        <v>0</v>
      </c>
      <c r="N279" s="423"/>
      <c r="O279" s="232">
        <v>0.483333333</v>
      </c>
      <c r="P279" s="426"/>
      <c r="Q279" s="74">
        <f>+WS*LY^(($H279-1)/$B$24)*P279</f>
        <v>0</v>
      </c>
      <c r="R279" s="74">
        <f t="shared" si="24"/>
        <v>0</v>
      </c>
      <c r="S279" s="74">
        <f t="shared" si="24"/>
        <v>0</v>
      </c>
      <c r="T279" s="70">
        <f>+'Input Data'!$J$43</f>
        <v>0.65</v>
      </c>
      <c r="U279" s="74">
        <f>+WS*(LY^((+H279-1)/$B$24))*(1/L279)/(1-T279)/720</f>
        <v>0.4953914190098121</v>
      </c>
      <c r="V279" s="74">
        <f t="shared" si="25"/>
        <v>0.005</v>
      </c>
    </row>
    <row r="280" spans="7:27" ht="12.75">
      <c r="G280" s="234"/>
      <c r="H280" s="232">
        <v>37</v>
      </c>
      <c r="I280" s="232" t="s">
        <v>46</v>
      </c>
      <c r="J280" s="232" t="str">
        <f>+'Input Data'!I43</f>
        <v>Meas_Film</v>
      </c>
      <c r="K280" s="232"/>
      <c r="L280" s="232">
        <v>200</v>
      </c>
      <c r="M280" s="414">
        <v>0</v>
      </c>
      <c r="N280" s="423"/>
      <c r="O280" s="232">
        <v>0.483333333</v>
      </c>
      <c r="P280" s="426"/>
      <c r="Q280" s="74">
        <f>+WS*LY^(($H291-1)/$B$24)*P280</f>
        <v>0</v>
      </c>
      <c r="R280" s="74">
        <f>+WS*LY^(($H291-1)/$B$24)*M280</f>
        <v>0</v>
      </c>
      <c r="S280" s="74">
        <f>+WS*LY^(($H291-1)/$B$24)*N280</f>
        <v>0</v>
      </c>
      <c r="T280" s="70">
        <f>+'Input Data'!$J$43</f>
        <v>0.65</v>
      </c>
      <c r="U280" s="74">
        <f>+WS*(LY^((+H291-1)/$B$24))*(1/L280)/(1-T280)/720</f>
        <v>0.4897920647416895</v>
      </c>
      <c r="V280" s="74">
        <f t="shared" si="25"/>
        <v>0.005</v>
      </c>
      <c r="AA280" t="s">
        <v>266</v>
      </c>
    </row>
    <row r="281" spans="7:27" ht="12.75">
      <c r="G281" s="234"/>
      <c r="H281" s="232">
        <v>39</v>
      </c>
      <c r="I281" s="232" t="s">
        <v>46</v>
      </c>
      <c r="J281" s="232" t="str">
        <f>+'Input Data'!I43</f>
        <v>Meas_Film</v>
      </c>
      <c r="K281" s="232"/>
      <c r="L281" s="232">
        <v>200</v>
      </c>
      <c r="M281" s="414">
        <v>0</v>
      </c>
      <c r="N281" s="423"/>
      <c r="O281" s="232">
        <v>0.483333333</v>
      </c>
      <c r="P281" s="426"/>
      <c r="Q281" s="74">
        <f>+WS*LY^(($H292-1)/$B$24)*P281</f>
        <v>0</v>
      </c>
      <c r="R281" s="74">
        <f>+WS*LY^(($H292-1)/$B$24)*M281</f>
        <v>0</v>
      </c>
      <c r="S281" s="74">
        <f>+WS*LY^(($H292-1)/$B$24)*N281</f>
        <v>0</v>
      </c>
      <c r="T281" s="70">
        <f>+'Input Data'!$J$43</f>
        <v>0.65</v>
      </c>
      <c r="U281" s="74">
        <f>+WS*(LY^((+H292-1)/$B$24))*(1/L281)/(1-T281)/720</f>
        <v>0.48974145290295035</v>
      </c>
      <c r="V281" s="74">
        <f t="shared" si="25"/>
        <v>0.005</v>
      </c>
      <c r="AA281" t="s">
        <v>267</v>
      </c>
    </row>
    <row r="282" spans="7:22" ht="12.75">
      <c r="G282" s="234"/>
      <c r="H282" s="232">
        <v>45</v>
      </c>
      <c r="I282" s="232" t="s">
        <v>46</v>
      </c>
      <c r="J282" s="232" t="str">
        <f>+'Input Data'!I43</f>
        <v>Meas_Film</v>
      </c>
      <c r="K282" s="232"/>
      <c r="L282" s="232">
        <v>200</v>
      </c>
      <c r="M282" s="414">
        <v>0</v>
      </c>
      <c r="N282" s="423"/>
      <c r="O282" s="232">
        <v>0.483333333</v>
      </c>
      <c r="P282" s="426"/>
      <c r="Q282" s="74">
        <f aca="true" t="shared" si="26" ref="Q282:Q287">+WS*LY^(($H327-1)/$B$24)*P282</f>
        <v>0</v>
      </c>
      <c r="R282" s="74">
        <f aca="true" t="shared" si="27" ref="R282:S287">+WS*LY^(($H327-1)/$B$24)*M282</f>
        <v>0</v>
      </c>
      <c r="S282" s="74">
        <f t="shared" si="27"/>
        <v>0</v>
      </c>
      <c r="T282" s="70">
        <f>+'Input Data'!$J$43</f>
        <v>0.65</v>
      </c>
      <c r="U282" s="74">
        <f aca="true" t="shared" si="28" ref="U282:U287">+WS*(LY^((+H327-1)/$B$24))*(1/L282)/(1-T282)/720</f>
        <v>0.4871420010818819</v>
      </c>
      <c r="V282" s="74">
        <f t="shared" si="25"/>
        <v>0.005</v>
      </c>
    </row>
    <row r="283" spans="7:22" ht="12.75">
      <c r="G283" s="234"/>
      <c r="H283" s="232">
        <v>53</v>
      </c>
      <c r="I283" s="232" t="s">
        <v>46</v>
      </c>
      <c r="J283" s="232" t="str">
        <f>+'Input Data'!I43</f>
        <v>Meas_Film</v>
      </c>
      <c r="K283" s="232"/>
      <c r="L283" s="232">
        <v>200</v>
      </c>
      <c r="M283" s="414">
        <v>0</v>
      </c>
      <c r="N283" s="423"/>
      <c r="O283" s="232">
        <v>0.483333333</v>
      </c>
      <c r="P283" s="426"/>
      <c r="Q283" s="74">
        <f t="shared" si="26"/>
        <v>0</v>
      </c>
      <c r="R283" s="74">
        <f t="shared" si="27"/>
        <v>0</v>
      </c>
      <c r="S283" s="74">
        <f t="shared" si="27"/>
        <v>0</v>
      </c>
      <c r="T283" s="70">
        <f>+'Input Data'!$J$43</f>
        <v>0.65</v>
      </c>
      <c r="U283" s="74">
        <f t="shared" si="28"/>
        <v>0.486764592855149</v>
      </c>
      <c r="V283" s="74">
        <f t="shared" si="25"/>
        <v>0.005</v>
      </c>
    </row>
    <row r="284" spans="7:22" ht="12.75">
      <c r="G284" s="234"/>
      <c r="H284" s="232">
        <v>55</v>
      </c>
      <c r="I284" s="232" t="s">
        <v>46</v>
      </c>
      <c r="J284" s="232" t="str">
        <f>+'Input Data'!I43</f>
        <v>Meas_Film</v>
      </c>
      <c r="K284" s="232"/>
      <c r="L284" s="232">
        <v>200</v>
      </c>
      <c r="M284" s="414">
        <v>0</v>
      </c>
      <c r="N284" s="423"/>
      <c r="O284" s="232">
        <v>0.483333333</v>
      </c>
      <c r="P284" s="426"/>
      <c r="Q284" s="74">
        <f t="shared" si="26"/>
        <v>0</v>
      </c>
      <c r="R284" s="74">
        <f t="shared" si="27"/>
        <v>0</v>
      </c>
      <c r="S284" s="74">
        <f t="shared" si="27"/>
        <v>0</v>
      </c>
      <c r="T284" s="70">
        <f>+'Input Data'!$J$43</f>
        <v>0.65</v>
      </c>
      <c r="U284" s="74">
        <f t="shared" si="28"/>
        <v>0.48631208892205047</v>
      </c>
      <c r="V284" s="74">
        <f t="shared" si="25"/>
        <v>0.005</v>
      </c>
    </row>
    <row r="285" spans="8:22" ht="12.75">
      <c r="H285" s="232">
        <v>59</v>
      </c>
      <c r="I285" s="232" t="s">
        <v>46</v>
      </c>
      <c r="J285" s="232" t="str">
        <f>+'Input Data'!I43</f>
        <v>Meas_Film</v>
      </c>
      <c r="K285" s="232"/>
      <c r="L285" s="232">
        <v>200</v>
      </c>
      <c r="M285" s="414">
        <v>0</v>
      </c>
      <c r="N285" s="423"/>
      <c r="O285" s="232">
        <v>0.483333333</v>
      </c>
      <c r="P285" s="426"/>
      <c r="Q285" s="74">
        <f t="shared" si="26"/>
        <v>0</v>
      </c>
      <c r="R285" s="74">
        <f t="shared" si="27"/>
        <v>0</v>
      </c>
      <c r="S285" s="74">
        <f t="shared" si="27"/>
        <v>0</v>
      </c>
      <c r="T285" s="70">
        <f>+'Input Data'!$J$43</f>
        <v>0.65</v>
      </c>
      <c r="U285" s="74">
        <f t="shared" si="28"/>
        <v>0.49444525167605513</v>
      </c>
      <c r="V285" s="74">
        <f t="shared" si="25"/>
        <v>0.005</v>
      </c>
    </row>
    <row r="286" spans="8:22" ht="12.75">
      <c r="H286" s="232">
        <v>69</v>
      </c>
      <c r="I286" s="232" t="s">
        <v>46</v>
      </c>
      <c r="J286" s="232" t="str">
        <f>+'Input Data'!I43</f>
        <v>Meas_Film</v>
      </c>
      <c r="K286" s="232"/>
      <c r="L286" s="232">
        <v>200</v>
      </c>
      <c r="M286" s="414">
        <v>0</v>
      </c>
      <c r="N286" s="423"/>
      <c r="O286" s="232">
        <v>0.483333333</v>
      </c>
      <c r="P286" s="426"/>
      <c r="Q286" s="74">
        <f t="shared" si="26"/>
        <v>0</v>
      </c>
      <c r="R286" s="74">
        <f t="shared" si="27"/>
        <v>0</v>
      </c>
      <c r="S286" s="74">
        <f t="shared" si="27"/>
        <v>0</v>
      </c>
      <c r="T286" s="70">
        <f>+'Input Data'!$J$43</f>
        <v>0.65</v>
      </c>
      <c r="U286" s="74">
        <f t="shared" si="28"/>
        <v>0.49378145864316164</v>
      </c>
      <c r="V286" s="74">
        <f t="shared" si="25"/>
        <v>0.005</v>
      </c>
    </row>
    <row r="287" spans="8:22" ht="12.75">
      <c r="H287" s="232">
        <v>71</v>
      </c>
      <c r="I287" s="232" t="s">
        <v>46</v>
      </c>
      <c r="J287" s="232" t="str">
        <f>+'Input Data'!I43</f>
        <v>Meas_Film</v>
      </c>
      <c r="K287" s="232"/>
      <c r="L287" s="232">
        <v>200</v>
      </c>
      <c r="M287" s="414">
        <v>0</v>
      </c>
      <c r="N287" s="423"/>
      <c r="O287" s="232">
        <v>0.483333333</v>
      </c>
      <c r="P287" s="426"/>
      <c r="Q287" s="74">
        <f t="shared" si="26"/>
        <v>0</v>
      </c>
      <c r="R287" s="74">
        <f t="shared" si="27"/>
        <v>0</v>
      </c>
      <c r="S287" s="74">
        <f t="shared" si="27"/>
        <v>0</v>
      </c>
      <c r="T287" s="70">
        <f>+'Input Data'!$J$43</f>
        <v>0.65</v>
      </c>
      <c r="U287" s="74">
        <f t="shared" si="28"/>
        <v>0.48933674642365804</v>
      </c>
      <c r="V287" s="74">
        <f t="shared" si="25"/>
        <v>0.005</v>
      </c>
    </row>
    <row r="288" spans="8:22" ht="12.75">
      <c r="H288" s="232">
        <v>74</v>
      </c>
      <c r="I288" s="232" t="s">
        <v>46</v>
      </c>
      <c r="J288" s="232" t="str">
        <f>+'Input Data'!I43</f>
        <v>Meas_Film</v>
      </c>
      <c r="K288" s="232"/>
      <c r="L288" s="232">
        <v>200</v>
      </c>
      <c r="M288" s="414">
        <v>0</v>
      </c>
      <c r="N288" s="423"/>
      <c r="O288" s="232">
        <v>0.483333333</v>
      </c>
      <c r="P288" s="426"/>
      <c r="Q288" s="74">
        <f>+WS*LY^(($H446-1)/$B$24)*P288</f>
        <v>0</v>
      </c>
      <c r="R288" s="74">
        <f aca="true" t="shared" si="29" ref="R288:S290">+WS*LY^(($H446-1)/$B$24)*M288</f>
        <v>0</v>
      </c>
      <c r="S288" s="74">
        <f t="shared" si="29"/>
        <v>0</v>
      </c>
      <c r="T288" s="70">
        <f>+'Input Data'!$J$43</f>
        <v>0.65</v>
      </c>
      <c r="U288" s="74">
        <f>+WS*(LY^((+H446-1)/$B$24))*(1/L288)/(1-T288)/720</f>
        <v>0.4960573763209626</v>
      </c>
      <c r="V288" s="74">
        <f t="shared" si="25"/>
        <v>0.005</v>
      </c>
    </row>
    <row r="289" spans="8:22" ht="12.75">
      <c r="H289" s="232">
        <v>104</v>
      </c>
      <c r="I289" s="232" t="s">
        <v>46</v>
      </c>
      <c r="J289" s="232" t="str">
        <f>+'Input Data'!I43</f>
        <v>Meas_Film</v>
      </c>
      <c r="K289" s="232"/>
      <c r="L289" s="232">
        <v>200</v>
      </c>
      <c r="M289" s="414">
        <v>0</v>
      </c>
      <c r="N289" s="423"/>
      <c r="O289" s="232">
        <v>0.483333333</v>
      </c>
      <c r="P289" s="426"/>
      <c r="Q289" s="74">
        <f>+WS*LY^(($H447-1)/$B$24)*P289</f>
        <v>0</v>
      </c>
      <c r="R289" s="74">
        <f t="shared" si="29"/>
        <v>0</v>
      </c>
      <c r="S289" s="74">
        <f t="shared" si="29"/>
        <v>0</v>
      </c>
      <c r="T289" s="70">
        <f>+'Input Data'!$J$43</f>
        <v>0.65</v>
      </c>
      <c r="U289" s="74">
        <f>+WS*(LY^((+H447-1)/$B$24))*(1/L289)/(1-T289)/720</f>
        <v>0.4960573763209626</v>
      </c>
      <c r="V289" s="74">
        <f t="shared" si="25"/>
        <v>0.005</v>
      </c>
    </row>
    <row r="290" spans="8:22" ht="12.75">
      <c r="H290" s="232">
        <v>107</v>
      </c>
      <c r="I290" s="232" t="s">
        <v>46</v>
      </c>
      <c r="J290" s="232" t="str">
        <f>+'Input Data'!I43</f>
        <v>Meas_Film</v>
      </c>
      <c r="K290" s="232"/>
      <c r="L290" s="232">
        <v>200</v>
      </c>
      <c r="M290" s="414">
        <v>0</v>
      </c>
      <c r="N290" s="423"/>
      <c r="O290" s="232">
        <v>0.483333333</v>
      </c>
      <c r="P290" s="426"/>
      <c r="Q290" s="74">
        <f>+WS*LY^(($H448-1)/$B$24)*P290</f>
        <v>0</v>
      </c>
      <c r="R290" s="74">
        <f t="shared" si="29"/>
        <v>0</v>
      </c>
      <c r="S290" s="74">
        <f t="shared" si="29"/>
        <v>0</v>
      </c>
      <c r="T290" s="70">
        <f>+'Input Data'!$J$43</f>
        <v>0.65</v>
      </c>
      <c r="U290" s="74">
        <f>+WS*(LY^((+H448-1)/$B$24))*(1/L290)/(1-T290)/720</f>
        <v>0.4960573763209626</v>
      </c>
      <c r="V290" s="74">
        <f t="shared" si="25"/>
        <v>0.005</v>
      </c>
    </row>
    <row r="291" spans="8:27" ht="12.75">
      <c r="H291" s="232">
        <v>246</v>
      </c>
      <c r="I291" s="232" t="s">
        <v>46</v>
      </c>
      <c r="J291" s="232" t="s">
        <v>46</v>
      </c>
      <c r="K291" s="232"/>
      <c r="L291" s="232">
        <v>200</v>
      </c>
      <c r="M291" s="232">
        <v>0</v>
      </c>
      <c r="N291" s="232"/>
      <c r="O291" s="232">
        <v>0.483333333</v>
      </c>
      <c r="P291" s="429"/>
      <c r="Q291" s="429">
        <v>0</v>
      </c>
      <c r="R291" s="429">
        <v>0</v>
      </c>
      <c r="S291" s="429">
        <v>0</v>
      </c>
      <c r="T291" s="429">
        <v>0.65</v>
      </c>
      <c r="U291" s="429">
        <v>0.2966221436063352</v>
      </c>
      <c r="V291" s="429">
        <v>0.005</v>
      </c>
      <c r="AA291" t="s">
        <v>266</v>
      </c>
    </row>
    <row r="292" spans="8:27" ht="12.75">
      <c r="H292" s="232">
        <v>248</v>
      </c>
      <c r="I292" s="232" t="s">
        <v>46</v>
      </c>
      <c r="J292" s="232" t="s">
        <v>46</v>
      </c>
      <c r="K292" s="232"/>
      <c r="L292" s="232">
        <v>200</v>
      </c>
      <c r="M292" s="232">
        <v>0</v>
      </c>
      <c r="N292" s="232"/>
      <c r="O292" s="232">
        <v>0.483333333</v>
      </c>
      <c r="P292" s="429"/>
      <c r="Q292" s="429">
        <v>0</v>
      </c>
      <c r="R292" s="429">
        <v>0</v>
      </c>
      <c r="S292" s="429">
        <v>0</v>
      </c>
      <c r="T292" s="429">
        <v>0.65</v>
      </c>
      <c r="U292" s="429">
        <v>0.29657979630897857</v>
      </c>
      <c r="V292" s="429">
        <v>0.005</v>
      </c>
      <c r="AA292" t="s">
        <v>276</v>
      </c>
    </row>
    <row r="293" spans="8:27" ht="12.75">
      <c r="H293" s="232">
        <v>254</v>
      </c>
      <c r="I293" s="232" t="s">
        <v>46</v>
      </c>
      <c r="J293" s="232" t="s">
        <v>46</v>
      </c>
      <c r="K293" s="232"/>
      <c r="L293" s="232">
        <v>200</v>
      </c>
      <c r="M293" s="232">
        <v>0</v>
      </c>
      <c r="N293" s="232"/>
      <c r="O293" s="232">
        <v>0.483333333</v>
      </c>
      <c r="P293" s="429"/>
      <c r="Q293" s="429">
        <v>0</v>
      </c>
      <c r="R293" s="429">
        <v>0</v>
      </c>
      <c r="S293" s="429">
        <v>0</v>
      </c>
      <c r="T293" s="429">
        <v>0.65</v>
      </c>
      <c r="U293" s="429">
        <v>0.2964527906877594</v>
      </c>
      <c r="V293" s="429">
        <v>0.005</v>
      </c>
      <c r="AA293" t="s">
        <v>250</v>
      </c>
    </row>
    <row r="294" spans="8:27" ht="12.75">
      <c r="H294" s="232">
        <v>279</v>
      </c>
      <c r="I294" s="232" t="s">
        <v>46</v>
      </c>
      <c r="J294" s="232" t="s">
        <v>46</v>
      </c>
      <c r="K294" s="232"/>
      <c r="L294" s="232">
        <v>200</v>
      </c>
      <c r="M294" s="232">
        <v>0</v>
      </c>
      <c r="N294" s="232"/>
      <c r="O294" s="232">
        <v>0.483333333</v>
      </c>
      <c r="P294" s="429"/>
      <c r="Q294" s="429">
        <v>0</v>
      </c>
      <c r="R294" s="429">
        <v>0</v>
      </c>
      <c r="S294" s="429">
        <v>0</v>
      </c>
      <c r="T294" s="429">
        <v>0.65</v>
      </c>
      <c r="U294" s="429">
        <v>0.2944911440697051</v>
      </c>
      <c r="V294" s="429">
        <v>0.005</v>
      </c>
      <c r="AA294" t="s">
        <v>270</v>
      </c>
    </row>
    <row r="295" spans="8:27" ht="12.75">
      <c r="H295" s="232">
        <v>282</v>
      </c>
      <c r="I295" s="232" t="s">
        <v>46</v>
      </c>
      <c r="J295" s="232" t="s">
        <v>46</v>
      </c>
      <c r="K295" s="232"/>
      <c r="L295" s="232">
        <v>200</v>
      </c>
      <c r="M295" s="232">
        <v>0</v>
      </c>
      <c r="N295" s="232"/>
      <c r="O295" s="232">
        <v>0.483333333</v>
      </c>
      <c r="P295" s="429"/>
      <c r="Q295" s="429">
        <v>0</v>
      </c>
      <c r="R295" s="429">
        <v>0</v>
      </c>
      <c r="S295" s="429">
        <v>0</v>
      </c>
      <c r="T295" s="429">
        <v>0.65</v>
      </c>
      <c r="U295" s="429">
        <v>0.29442808172320223</v>
      </c>
      <c r="V295" s="429">
        <v>0.005</v>
      </c>
      <c r="AA295" t="s">
        <v>47</v>
      </c>
    </row>
    <row r="296" spans="8:27" ht="12.75">
      <c r="H296" s="232">
        <v>312</v>
      </c>
      <c r="I296" s="232" t="s">
        <v>46</v>
      </c>
      <c r="J296" s="232" t="s">
        <v>46</v>
      </c>
      <c r="K296" s="232"/>
      <c r="L296" s="232">
        <v>200</v>
      </c>
      <c r="M296" s="232">
        <v>0</v>
      </c>
      <c r="N296" s="232"/>
      <c r="O296" s="232">
        <v>0.483333333</v>
      </c>
      <c r="P296" s="429"/>
      <c r="Q296" s="429">
        <v>0</v>
      </c>
      <c r="R296" s="429">
        <v>0</v>
      </c>
      <c r="S296" s="429">
        <v>0</v>
      </c>
      <c r="T296" s="429">
        <v>0.65</v>
      </c>
      <c r="U296" s="429">
        <v>0.2944911440697051</v>
      </c>
      <c r="V296" s="429">
        <v>0.005</v>
      </c>
      <c r="AA296" t="s">
        <v>280</v>
      </c>
    </row>
    <row r="297" spans="8:27" ht="12.75">
      <c r="H297" s="232">
        <v>315</v>
      </c>
      <c r="I297" s="232" t="s">
        <v>46</v>
      </c>
      <c r="J297" s="232" t="s">
        <v>46</v>
      </c>
      <c r="K297" s="232"/>
      <c r="L297" s="232">
        <v>200</v>
      </c>
      <c r="M297" s="232">
        <v>0</v>
      </c>
      <c r="N297" s="232"/>
      <c r="O297" s="232">
        <v>0.483333333</v>
      </c>
      <c r="P297" s="429"/>
      <c r="Q297" s="429">
        <v>0</v>
      </c>
      <c r="R297" s="429">
        <v>0</v>
      </c>
      <c r="S297" s="429">
        <v>0</v>
      </c>
      <c r="T297" s="429">
        <v>0.65</v>
      </c>
      <c r="U297" s="429">
        <v>0.29442808172320223</v>
      </c>
      <c r="V297" s="429">
        <v>0.005</v>
      </c>
      <c r="AA297" t="s">
        <v>282</v>
      </c>
    </row>
    <row r="298" spans="8:27" ht="12.75">
      <c r="H298" s="232">
        <v>345</v>
      </c>
      <c r="I298" s="232" t="s">
        <v>46</v>
      </c>
      <c r="J298" s="232" t="s">
        <v>46</v>
      </c>
      <c r="K298" s="232"/>
      <c r="L298" s="232">
        <v>200</v>
      </c>
      <c r="M298" s="232">
        <v>0</v>
      </c>
      <c r="N298" s="232"/>
      <c r="O298" s="232">
        <v>0.483333333</v>
      </c>
      <c r="P298" s="429"/>
      <c r="Q298" s="429">
        <v>0</v>
      </c>
      <c r="R298" s="429">
        <v>0</v>
      </c>
      <c r="S298" s="429">
        <v>0</v>
      </c>
      <c r="T298" s="429">
        <v>0.65</v>
      </c>
      <c r="U298" s="429">
        <v>0.2944911440697051</v>
      </c>
      <c r="V298" s="429">
        <v>0.005</v>
      </c>
      <c r="AA298" t="s">
        <v>46</v>
      </c>
    </row>
    <row r="299" spans="8:22" ht="12.75">
      <c r="H299" s="232">
        <v>348</v>
      </c>
      <c r="I299" s="232" t="s">
        <v>46</v>
      </c>
      <c r="J299" s="232" t="s">
        <v>46</v>
      </c>
      <c r="K299" s="232"/>
      <c r="L299" s="232">
        <v>200</v>
      </c>
      <c r="M299" s="232">
        <v>0</v>
      </c>
      <c r="N299" s="232"/>
      <c r="O299" s="232">
        <v>0.483333333</v>
      </c>
      <c r="P299" s="429"/>
      <c r="Q299" s="429">
        <v>0</v>
      </c>
      <c r="R299" s="429">
        <v>0</v>
      </c>
      <c r="S299" s="429">
        <v>0</v>
      </c>
      <c r="T299" s="429">
        <v>0.65</v>
      </c>
      <c r="U299" s="429">
        <v>0.29442808172320223</v>
      </c>
      <c r="V299" s="429">
        <v>0.005</v>
      </c>
    </row>
    <row r="300" spans="8:22" ht="12.75">
      <c r="H300" s="232">
        <v>378</v>
      </c>
      <c r="I300" s="232" t="s">
        <v>46</v>
      </c>
      <c r="J300" s="232" t="s">
        <v>46</v>
      </c>
      <c r="K300" s="232"/>
      <c r="L300" s="232">
        <v>200</v>
      </c>
      <c r="M300" s="232">
        <v>0</v>
      </c>
      <c r="N300" s="232"/>
      <c r="O300" s="232">
        <v>0.483333333</v>
      </c>
      <c r="P300" s="429"/>
      <c r="Q300" s="429">
        <v>0</v>
      </c>
      <c r="R300" s="429">
        <v>0</v>
      </c>
      <c r="S300" s="429">
        <v>0</v>
      </c>
      <c r="T300" s="429">
        <v>0.65</v>
      </c>
      <c r="U300" s="429">
        <v>0.2944911440697051</v>
      </c>
      <c r="V300" s="429">
        <v>0.005</v>
      </c>
    </row>
    <row r="301" spans="8:22" ht="12.75">
      <c r="H301" s="232">
        <v>381</v>
      </c>
      <c r="I301" s="232" t="s">
        <v>46</v>
      </c>
      <c r="J301" s="232" t="s">
        <v>46</v>
      </c>
      <c r="K301" s="232"/>
      <c r="L301" s="232">
        <v>200</v>
      </c>
      <c r="M301" s="232">
        <v>0</v>
      </c>
      <c r="N301" s="232"/>
      <c r="O301" s="232">
        <v>0.483333333</v>
      </c>
      <c r="P301" s="429"/>
      <c r="Q301" s="429">
        <v>0</v>
      </c>
      <c r="R301" s="429">
        <v>0</v>
      </c>
      <c r="S301" s="429">
        <v>0</v>
      </c>
      <c r="T301" s="429">
        <v>0.65</v>
      </c>
      <c r="U301" s="429">
        <v>0.29442808172320223</v>
      </c>
      <c r="V301" s="429">
        <v>0.005</v>
      </c>
    </row>
    <row r="302" spans="8:22" ht="12.75">
      <c r="H302" s="232">
        <v>28</v>
      </c>
      <c r="I302" s="232" t="s">
        <v>47</v>
      </c>
      <c r="J302" s="232" t="str">
        <f>+'Input Data'!I44</f>
        <v>Meas_Overlay</v>
      </c>
      <c r="K302" s="232"/>
      <c r="L302" s="232">
        <v>200</v>
      </c>
      <c r="M302" s="414">
        <v>0</v>
      </c>
      <c r="N302" s="423"/>
      <c r="O302" s="232">
        <v>1.089259259</v>
      </c>
      <c r="P302" s="426"/>
      <c r="Q302" s="74">
        <f>+WS*LY^(($H302-1)/$B$24)*P302</f>
        <v>0</v>
      </c>
      <c r="R302" s="74">
        <f>+WS*LY^(($H302-1)/$B$24)*M302</f>
        <v>0</v>
      </c>
      <c r="S302" s="74">
        <f>+WS*LY^(($H302-1)/$B$24)*N302</f>
        <v>0</v>
      </c>
      <c r="T302" s="70">
        <f>+'Input Data'!$J$44</f>
        <v>0.7</v>
      </c>
      <c r="U302" s="74">
        <f>+WS*(LY^((+H302-1)/$B$24))*(1/L302)/(1-T302)/720</f>
        <v>0.577896933333093</v>
      </c>
      <c r="V302" s="74">
        <f aca="true" t="shared" si="30" ref="V302:V307">1/L302</f>
        <v>0.005</v>
      </c>
    </row>
    <row r="303" spans="8:27" ht="12.75">
      <c r="H303" s="232">
        <v>41</v>
      </c>
      <c r="I303" s="232" t="s">
        <v>47</v>
      </c>
      <c r="J303" s="232" t="str">
        <f>+'Input Data'!I44</f>
        <v>Meas_Overlay</v>
      </c>
      <c r="K303" s="232"/>
      <c r="L303" s="232">
        <v>200</v>
      </c>
      <c r="M303" s="414">
        <v>0</v>
      </c>
      <c r="N303" s="423"/>
      <c r="O303" s="232">
        <v>1.089259259</v>
      </c>
      <c r="P303" s="426"/>
      <c r="Q303" s="74">
        <f>+WS*LY^(($H331-1)/$B$24)*P303</f>
        <v>0</v>
      </c>
      <c r="R303" s="74">
        <f>+WS*LY^(($H331-1)/$B$24)*M303</f>
        <v>0</v>
      </c>
      <c r="S303" s="74">
        <f>+WS*LY^(($H331-1)/$B$24)*N303</f>
        <v>0</v>
      </c>
      <c r="T303" s="70">
        <f>+'Input Data'!$J$44</f>
        <v>0.7</v>
      </c>
      <c r="U303" s="74">
        <f>+WS*(LY^((+H331-1)/$B$24))*(1/L303)/(1-T303)/720</f>
        <v>0.5760783684170218</v>
      </c>
      <c r="V303" s="74">
        <f t="shared" si="30"/>
        <v>0.005</v>
      </c>
      <c r="AA303" t="s">
        <v>268</v>
      </c>
    </row>
    <row r="304" spans="8:22" ht="12.75">
      <c r="H304" s="232">
        <v>78</v>
      </c>
      <c r="I304" s="232" t="s">
        <v>47</v>
      </c>
      <c r="J304" s="232" t="str">
        <f>+'Input Data'!I44</f>
        <v>Meas_Overlay</v>
      </c>
      <c r="K304" s="232"/>
      <c r="L304" s="232">
        <v>200</v>
      </c>
      <c r="M304" s="414">
        <v>0</v>
      </c>
      <c r="N304" s="423"/>
      <c r="O304" s="232">
        <v>1.089259259</v>
      </c>
      <c r="P304" s="426"/>
      <c r="Q304" s="74">
        <f>+WS*LY^(($H462-1)/$B$24)*P304</f>
        <v>0</v>
      </c>
      <c r="R304" s="74">
        <f aca="true" t="shared" si="31" ref="R304:S307">+WS*LY^(($H462-1)/$B$24)*M304</f>
        <v>0</v>
      </c>
      <c r="S304" s="74">
        <f t="shared" si="31"/>
        <v>0</v>
      </c>
      <c r="T304" s="70">
        <f>+'Input Data'!$J$44</f>
        <v>0.7</v>
      </c>
      <c r="U304" s="74">
        <f>+WS*(LY^((+H462-1)/$B$24))*(1/L304)/(1-T304)/720</f>
        <v>0.5787336057077895</v>
      </c>
      <c r="V304" s="74">
        <f t="shared" si="30"/>
        <v>0.005</v>
      </c>
    </row>
    <row r="305" spans="8:22" ht="12.75">
      <c r="H305" s="232">
        <v>92</v>
      </c>
      <c r="I305" s="232" t="s">
        <v>47</v>
      </c>
      <c r="J305" s="232" t="str">
        <f>+'Input Data'!I44</f>
        <v>Meas_Overlay</v>
      </c>
      <c r="K305" s="232"/>
      <c r="L305" s="232">
        <v>200</v>
      </c>
      <c r="M305" s="414">
        <v>0</v>
      </c>
      <c r="N305" s="423"/>
      <c r="O305" s="232">
        <v>1.089259259</v>
      </c>
      <c r="P305" s="426"/>
      <c r="Q305" s="74">
        <f>+WS*LY^(($H463-1)/$B$24)*P305</f>
        <v>0</v>
      </c>
      <c r="R305" s="74">
        <f t="shared" si="31"/>
        <v>0</v>
      </c>
      <c r="S305" s="74">
        <f t="shared" si="31"/>
        <v>0</v>
      </c>
      <c r="T305" s="70">
        <f>+'Input Data'!$J$44</f>
        <v>0.7</v>
      </c>
      <c r="U305" s="74">
        <f>+WS*(LY^((+H463-1)/$B$24))*(1/L305)/(1-T305)/720</f>
        <v>0.5787336057077895</v>
      </c>
      <c r="V305" s="74">
        <f t="shared" si="30"/>
        <v>0.005</v>
      </c>
    </row>
    <row r="306" spans="8:22" ht="12.75">
      <c r="H306" s="232">
        <v>110</v>
      </c>
      <c r="I306" s="232" t="s">
        <v>47</v>
      </c>
      <c r="J306" s="232" t="str">
        <f>+'Input Data'!I44</f>
        <v>Meas_Overlay</v>
      </c>
      <c r="K306" s="232"/>
      <c r="L306" s="232">
        <v>200</v>
      </c>
      <c r="M306" s="414">
        <v>0</v>
      </c>
      <c r="N306" s="423"/>
      <c r="O306" s="232">
        <v>1.089259259</v>
      </c>
      <c r="P306" s="426"/>
      <c r="Q306" s="74">
        <f>+WS*LY^(($H464-1)/$B$24)*P306</f>
        <v>0</v>
      </c>
      <c r="R306" s="74">
        <f t="shared" si="31"/>
        <v>0</v>
      </c>
      <c r="S306" s="74">
        <f t="shared" si="31"/>
        <v>0</v>
      </c>
      <c r="T306" s="70">
        <f>+'Input Data'!$J$44</f>
        <v>0.7</v>
      </c>
      <c r="U306" s="74">
        <f>+WS*(LY^((+H464-1)/$B$24))*(1/L306)/(1-T306)/720</f>
        <v>0.5787336057077895</v>
      </c>
      <c r="V306" s="74">
        <f t="shared" si="30"/>
        <v>0.005</v>
      </c>
    </row>
    <row r="307" spans="8:22" ht="12.75">
      <c r="H307" s="232">
        <v>120</v>
      </c>
      <c r="I307" s="232" t="s">
        <v>47</v>
      </c>
      <c r="J307" s="232" t="str">
        <f>+'Input Data'!I44</f>
        <v>Meas_Overlay</v>
      </c>
      <c r="K307" s="232"/>
      <c r="L307" s="232">
        <v>200</v>
      </c>
      <c r="M307" s="414">
        <v>0</v>
      </c>
      <c r="N307" s="423"/>
      <c r="O307" s="232">
        <v>1.089259259</v>
      </c>
      <c r="P307" s="426"/>
      <c r="Q307" s="74">
        <f>+WS*LY^(($H465-1)/$B$24)*P307</f>
        <v>0</v>
      </c>
      <c r="R307" s="74">
        <f t="shared" si="31"/>
        <v>0</v>
      </c>
      <c r="S307" s="74">
        <f t="shared" si="31"/>
        <v>0</v>
      </c>
      <c r="T307" s="70">
        <f>+'Input Data'!$J$44</f>
        <v>0.7</v>
      </c>
      <c r="U307" s="74">
        <f>+WS*(LY^((+H465-1)/$B$24))*(1/L307)/(1-T307)/720</f>
        <v>0.5787336057077895</v>
      </c>
      <c r="V307" s="74">
        <f t="shared" si="30"/>
        <v>0.005</v>
      </c>
    </row>
    <row r="308" spans="8:22" ht="12.75">
      <c r="H308" s="232">
        <v>129</v>
      </c>
      <c r="I308" s="232" t="s">
        <v>47</v>
      </c>
      <c r="J308" s="232" t="s">
        <v>47</v>
      </c>
      <c r="K308" s="232"/>
      <c r="L308" s="232">
        <v>200</v>
      </c>
      <c r="M308" s="232">
        <v>0</v>
      </c>
      <c r="N308" s="232"/>
      <c r="O308" s="232">
        <v>1.089259259</v>
      </c>
      <c r="P308" s="429"/>
      <c r="Q308" s="429">
        <v>0</v>
      </c>
      <c r="R308" s="429">
        <v>0</v>
      </c>
      <c r="S308" s="429">
        <v>0</v>
      </c>
      <c r="T308" s="429">
        <v>0.7</v>
      </c>
      <c r="U308" s="429">
        <v>0.34655360749837505</v>
      </c>
      <c r="V308" s="429">
        <v>0.005</v>
      </c>
    </row>
    <row r="309" spans="8:27" ht="12.75">
      <c r="H309" s="232">
        <v>138</v>
      </c>
      <c r="I309" s="232" t="s">
        <v>47</v>
      </c>
      <c r="J309" s="232" t="s">
        <v>47</v>
      </c>
      <c r="K309" s="232"/>
      <c r="L309" s="232">
        <v>200</v>
      </c>
      <c r="M309" s="232">
        <v>0</v>
      </c>
      <c r="N309" s="232"/>
      <c r="O309" s="232">
        <v>1.089259259</v>
      </c>
      <c r="P309" s="429"/>
      <c r="Q309" s="429">
        <v>0</v>
      </c>
      <c r="R309" s="429">
        <v>0</v>
      </c>
      <c r="S309" s="429">
        <v>0</v>
      </c>
      <c r="T309" s="429">
        <v>0.7</v>
      </c>
      <c r="U309" s="429">
        <v>0.34655360749837505</v>
      </c>
      <c r="V309" s="429">
        <v>0.005</v>
      </c>
      <c r="AA309" t="s">
        <v>270</v>
      </c>
    </row>
    <row r="310" spans="8:27" ht="12.75">
      <c r="H310" s="232">
        <v>147</v>
      </c>
      <c r="I310" s="232" t="s">
        <v>47</v>
      </c>
      <c r="J310" s="232" t="s">
        <v>47</v>
      </c>
      <c r="K310" s="232"/>
      <c r="L310" s="232">
        <v>200</v>
      </c>
      <c r="M310" s="232">
        <v>0</v>
      </c>
      <c r="N310" s="232"/>
      <c r="O310" s="232">
        <v>1.089259259</v>
      </c>
      <c r="P310" s="429"/>
      <c r="Q310" s="429">
        <v>0</v>
      </c>
      <c r="R310" s="429">
        <v>0</v>
      </c>
      <c r="S310" s="429">
        <v>0</v>
      </c>
      <c r="T310" s="429">
        <v>0.7</v>
      </c>
      <c r="U310" s="429">
        <v>0.34655360749837505</v>
      </c>
      <c r="V310" s="429">
        <v>0.005</v>
      </c>
      <c r="AA310" t="s">
        <v>279</v>
      </c>
    </row>
    <row r="311" spans="8:54" ht="12.75">
      <c r="H311" s="232">
        <v>156</v>
      </c>
      <c r="I311" s="232" t="s">
        <v>47</v>
      </c>
      <c r="J311" s="232" t="s">
        <v>47</v>
      </c>
      <c r="K311" s="232"/>
      <c r="L311" s="232">
        <v>200</v>
      </c>
      <c r="M311" s="232">
        <v>0</v>
      </c>
      <c r="N311" s="232"/>
      <c r="O311" s="232">
        <v>1.089259259</v>
      </c>
      <c r="P311" s="429"/>
      <c r="Q311" s="429">
        <v>0</v>
      </c>
      <c r="R311" s="429">
        <v>0</v>
      </c>
      <c r="S311" s="429">
        <v>0</v>
      </c>
      <c r="T311" s="429">
        <v>0.7</v>
      </c>
      <c r="U311" s="429">
        <v>0.34655360749837505</v>
      </c>
      <c r="V311" s="429">
        <v>0.005</v>
      </c>
      <c r="AA311" t="s">
        <v>275</v>
      </c>
      <c r="BA311" t="s">
        <v>47</v>
      </c>
      <c r="BB311">
        <v>1.089259259</v>
      </c>
    </row>
    <row r="312" spans="8:54" ht="12.75">
      <c r="H312" s="232">
        <v>165</v>
      </c>
      <c r="I312" s="232" t="s">
        <v>47</v>
      </c>
      <c r="J312" s="232" t="s">
        <v>47</v>
      </c>
      <c r="K312" s="232"/>
      <c r="L312" s="232">
        <v>200</v>
      </c>
      <c r="M312" s="232">
        <v>0</v>
      </c>
      <c r="N312" s="232"/>
      <c r="O312" s="232">
        <v>1.089259259</v>
      </c>
      <c r="P312" s="429"/>
      <c r="Q312" s="429">
        <v>0</v>
      </c>
      <c r="R312" s="429">
        <v>0</v>
      </c>
      <c r="S312" s="429">
        <v>0</v>
      </c>
      <c r="T312" s="429">
        <v>0.7</v>
      </c>
      <c r="U312" s="429">
        <v>0.34655360749837505</v>
      </c>
      <c r="V312" s="429">
        <v>0.005</v>
      </c>
      <c r="AA312" t="s">
        <v>45</v>
      </c>
      <c r="BA312" t="s">
        <v>47</v>
      </c>
      <c r="BB312">
        <v>1.089259259</v>
      </c>
    </row>
    <row r="313" spans="8:54" ht="12.75">
      <c r="H313" s="232">
        <v>174</v>
      </c>
      <c r="I313" s="232" t="s">
        <v>47</v>
      </c>
      <c r="J313" s="232" t="s">
        <v>47</v>
      </c>
      <c r="K313" s="232"/>
      <c r="L313" s="232">
        <v>200</v>
      </c>
      <c r="M313" s="232">
        <v>0</v>
      </c>
      <c r="N313" s="232"/>
      <c r="O313" s="232">
        <v>1.089259259</v>
      </c>
      <c r="P313" s="429"/>
      <c r="Q313" s="429">
        <v>0</v>
      </c>
      <c r="R313" s="429">
        <v>0</v>
      </c>
      <c r="S313" s="429">
        <v>0</v>
      </c>
      <c r="T313" s="429">
        <v>0.7</v>
      </c>
      <c r="U313" s="429">
        <v>0.34655360749837505</v>
      </c>
      <c r="V313" s="429">
        <v>0.005</v>
      </c>
      <c r="AA313" t="s">
        <v>265</v>
      </c>
      <c r="BA313" t="s">
        <v>47</v>
      </c>
      <c r="BB313">
        <v>1.089259259</v>
      </c>
    </row>
    <row r="314" spans="8:54" ht="12.75">
      <c r="H314" s="232">
        <v>183</v>
      </c>
      <c r="I314" s="232" t="s">
        <v>47</v>
      </c>
      <c r="J314" s="232" t="s">
        <v>47</v>
      </c>
      <c r="K314" s="232"/>
      <c r="L314" s="232">
        <v>200</v>
      </c>
      <c r="M314" s="232">
        <v>0</v>
      </c>
      <c r="N314" s="232"/>
      <c r="O314" s="232">
        <v>1.089259259</v>
      </c>
      <c r="P314" s="429"/>
      <c r="Q314" s="429">
        <v>0</v>
      </c>
      <c r="R314" s="429">
        <v>0</v>
      </c>
      <c r="S314" s="429">
        <v>0</v>
      </c>
      <c r="T314" s="429">
        <v>0.7</v>
      </c>
      <c r="U314" s="429">
        <v>0.34655360749837505</v>
      </c>
      <c r="V314" s="429">
        <v>0.005</v>
      </c>
      <c r="AA314" t="s">
        <v>270</v>
      </c>
      <c r="BA314" t="s">
        <v>47</v>
      </c>
      <c r="BB314">
        <v>1.089259259</v>
      </c>
    </row>
    <row r="315" spans="8:54" ht="12.75">
      <c r="H315" s="232">
        <v>192</v>
      </c>
      <c r="I315" s="232" t="s">
        <v>47</v>
      </c>
      <c r="J315" s="232" t="s">
        <v>47</v>
      </c>
      <c r="K315" s="232"/>
      <c r="L315" s="232">
        <v>200</v>
      </c>
      <c r="M315" s="232">
        <v>0</v>
      </c>
      <c r="N315" s="232"/>
      <c r="O315" s="232">
        <v>1.089259259</v>
      </c>
      <c r="P315" s="429"/>
      <c r="Q315" s="429">
        <v>0</v>
      </c>
      <c r="R315" s="429">
        <v>0</v>
      </c>
      <c r="S315" s="429">
        <v>0</v>
      </c>
      <c r="T315" s="429">
        <v>0.7</v>
      </c>
      <c r="U315" s="429">
        <v>0.34655360749837505</v>
      </c>
      <c r="V315" s="429">
        <v>0.005</v>
      </c>
      <c r="AA315" t="s">
        <v>279</v>
      </c>
      <c r="BA315" t="s">
        <v>47</v>
      </c>
      <c r="BB315">
        <v>1.089259259</v>
      </c>
    </row>
    <row r="316" spans="8:54" ht="12.75">
      <c r="H316" s="232">
        <v>201</v>
      </c>
      <c r="I316" s="232" t="s">
        <v>47</v>
      </c>
      <c r="J316" s="232" t="s">
        <v>47</v>
      </c>
      <c r="K316" s="232"/>
      <c r="L316" s="232">
        <v>200</v>
      </c>
      <c r="M316" s="232">
        <v>0</v>
      </c>
      <c r="N316" s="232"/>
      <c r="O316" s="232">
        <v>1.089259259</v>
      </c>
      <c r="P316" s="429"/>
      <c r="Q316" s="429">
        <v>0</v>
      </c>
      <c r="R316" s="429">
        <v>0</v>
      </c>
      <c r="S316" s="429">
        <v>0</v>
      </c>
      <c r="T316" s="429">
        <v>0.7</v>
      </c>
      <c r="U316" s="429">
        <v>0.34655360749837505</v>
      </c>
      <c r="V316" s="429">
        <v>0.005</v>
      </c>
      <c r="AA316" t="s">
        <v>262</v>
      </c>
      <c r="BA316" t="s">
        <v>47</v>
      </c>
      <c r="BB316">
        <v>1.089259259</v>
      </c>
    </row>
    <row r="317" spans="8:54" ht="12.75">
      <c r="H317" s="232">
        <v>210</v>
      </c>
      <c r="I317" s="232" t="s">
        <v>47</v>
      </c>
      <c r="J317" s="232" t="s">
        <v>47</v>
      </c>
      <c r="K317" s="232"/>
      <c r="L317" s="232">
        <v>200</v>
      </c>
      <c r="M317" s="232">
        <v>0</v>
      </c>
      <c r="N317" s="232"/>
      <c r="O317" s="232">
        <v>1.089259259</v>
      </c>
      <c r="P317" s="429"/>
      <c r="Q317" s="429">
        <v>0</v>
      </c>
      <c r="R317" s="429">
        <v>0</v>
      </c>
      <c r="S317" s="429">
        <v>0</v>
      </c>
      <c r="T317" s="429">
        <v>0.7</v>
      </c>
      <c r="U317" s="429">
        <v>0.34655360749837505</v>
      </c>
      <c r="V317" s="429">
        <v>0.005</v>
      </c>
      <c r="AA317" t="s">
        <v>46</v>
      </c>
      <c r="BA317" t="s">
        <v>47</v>
      </c>
      <c r="BB317">
        <v>1.089259259</v>
      </c>
    </row>
    <row r="318" spans="8:54" ht="12.75">
      <c r="H318" s="232">
        <v>219</v>
      </c>
      <c r="I318" s="232" t="s">
        <v>47</v>
      </c>
      <c r="J318" s="232" t="s">
        <v>47</v>
      </c>
      <c r="K318" s="232"/>
      <c r="L318" s="232">
        <v>200</v>
      </c>
      <c r="M318" s="232">
        <v>0</v>
      </c>
      <c r="N318" s="232"/>
      <c r="O318" s="232">
        <v>1.089259259</v>
      </c>
      <c r="P318" s="429"/>
      <c r="Q318" s="429">
        <v>0</v>
      </c>
      <c r="R318" s="429">
        <v>0</v>
      </c>
      <c r="S318" s="429">
        <v>0</v>
      </c>
      <c r="T318" s="429">
        <v>0.7</v>
      </c>
      <c r="U318" s="429">
        <v>0.34655360749837505</v>
      </c>
      <c r="V318" s="429">
        <v>0.005</v>
      </c>
      <c r="AA318" t="s">
        <v>269</v>
      </c>
      <c r="BA318" t="s">
        <v>47</v>
      </c>
      <c r="BB318">
        <v>1.089259259</v>
      </c>
    </row>
    <row r="319" spans="8:54" ht="12.75">
      <c r="H319" s="232">
        <v>228</v>
      </c>
      <c r="I319" s="232" t="s">
        <v>47</v>
      </c>
      <c r="J319" s="232" t="s">
        <v>47</v>
      </c>
      <c r="K319" s="232"/>
      <c r="L319" s="232">
        <v>200</v>
      </c>
      <c r="M319" s="232">
        <v>0</v>
      </c>
      <c r="N319" s="232"/>
      <c r="O319" s="232">
        <v>1.089259259</v>
      </c>
      <c r="P319" s="429"/>
      <c r="Q319" s="429">
        <v>0</v>
      </c>
      <c r="R319" s="429">
        <v>0</v>
      </c>
      <c r="S319" s="429">
        <v>0</v>
      </c>
      <c r="T319" s="429">
        <v>0.7</v>
      </c>
      <c r="U319" s="429">
        <v>0.34655360749837505</v>
      </c>
      <c r="V319" s="429">
        <v>0.005</v>
      </c>
      <c r="AA319" t="s">
        <v>270</v>
      </c>
      <c r="BA319" t="s">
        <v>47</v>
      </c>
      <c r="BB319">
        <v>1.089259259</v>
      </c>
    </row>
    <row r="320" spans="8:54" ht="12.75">
      <c r="H320" s="232">
        <v>237</v>
      </c>
      <c r="I320" s="232" t="s">
        <v>47</v>
      </c>
      <c r="J320" s="232" t="s">
        <v>47</v>
      </c>
      <c r="K320" s="232"/>
      <c r="L320" s="232">
        <v>200</v>
      </c>
      <c r="M320" s="232">
        <v>0</v>
      </c>
      <c r="N320" s="232"/>
      <c r="O320" s="232">
        <v>1.089259259</v>
      </c>
      <c r="P320" s="429"/>
      <c r="Q320" s="429">
        <v>0</v>
      </c>
      <c r="R320" s="429">
        <v>0</v>
      </c>
      <c r="S320" s="429">
        <v>0</v>
      </c>
      <c r="T320" s="429">
        <v>0.7</v>
      </c>
      <c r="U320" s="429">
        <v>0.34655360749837505</v>
      </c>
      <c r="V320" s="429">
        <v>0.005</v>
      </c>
      <c r="AA320" t="s">
        <v>279</v>
      </c>
      <c r="BA320" t="s">
        <v>47</v>
      </c>
      <c r="BB320">
        <v>1.089259259</v>
      </c>
    </row>
    <row r="321" spans="8:54" ht="12.75">
      <c r="H321" s="232">
        <v>250</v>
      </c>
      <c r="I321" s="232" t="s">
        <v>47</v>
      </c>
      <c r="J321" s="232" t="s">
        <v>47</v>
      </c>
      <c r="K321" s="232"/>
      <c r="L321" s="232">
        <v>200</v>
      </c>
      <c r="M321" s="232">
        <v>0</v>
      </c>
      <c r="N321" s="232"/>
      <c r="O321" s="232">
        <v>1.089259259</v>
      </c>
      <c r="P321" s="429"/>
      <c r="Q321" s="429">
        <v>0</v>
      </c>
      <c r="R321" s="429">
        <v>0</v>
      </c>
      <c r="S321" s="429">
        <v>0</v>
      </c>
      <c r="T321" s="429">
        <v>0.7</v>
      </c>
      <c r="U321" s="429">
        <v>0.3459603642335622</v>
      </c>
      <c r="V321" s="429">
        <v>0.005</v>
      </c>
      <c r="AA321" t="s">
        <v>258</v>
      </c>
      <c r="BA321" t="s">
        <v>47</v>
      </c>
      <c r="BB321">
        <v>1.089259259</v>
      </c>
    </row>
    <row r="322" spans="8:54" ht="12.75">
      <c r="H322" s="232">
        <v>267</v>
      </c>
      <c r="I322" s="232" t="s">
        <v>47</v>
      </c>
      <c r="J322" s="232" t="s">
        <v>47</v>
      </c>
      <c r="K322" s="232"/>
      <c r="L322" s="232">
        <v>200</v>
      </c>
      <c r="M322" s="232">
        <v>0</v>
      </c>
      <c r="N322" s="232"/>
      <c r="O322" s="232">
        <v>1.089259259</v>
      </c>
      <c r="P322" s="429"/>
      <c r="Q322" s="429">
        <v>0</v>
      </c>
      <c r="R322" s="429">
        <v>0</v>
      </c>
      <c r="S322" s="429">
        <v>0</v>
      </c>
      <c r="T322" s="429">
        <v>0.7</v>
      </c>
      <c r="U322" s="429">
        <v>0.34386744998119556</v>
      </c>
      <c r="V322" s="429">
        <v>0.005</v>
      </c>
      <c r="AA322" t="s">
        <v>45</v>
      </c>
      <c r="BA322" t="s">
        <v>47</v>
      </c>
      <c r="BB322">
        <v>1.089259259</v>
      </c>
    </row>
    <row r="323" spans="8:54" ht="12.75">
      <c r="H323" s="232">
        <v>285</v>
      </c>
      <c r="I323" s="232" t="s">
        <v>47</v>
      </c>
      <c r="J323" s="232" t="s">
        <v>47</v>
      </c>
      <c r="K323" s="232"/>
      <c r="L323" s="232">
        <v>200</v>
      </c>
      <c r="M323" s="232">
        <v>0</v>
      </c>
      <c r="N323" s="232"/>
      <c r="O323" s="232">
        <v>1.089259259</v>
      </c>
      <c r="P323" s="429"/>
      <c r="Q323" s="429">
        <v>0</v>
      </c>
      <c r="R323" s="429">
        <v>0</v>
      </c>
      <c r="S323" s="429">
        <v>0</v>
      </c>
      <c r="T323" s="429">
        <v>0.7</v>
      </c>
      <c r="U323" s="429">
        <v>0.34342587169435174</v>
      </c>
      <c r="V323" s="429">
        <v>0.005</v>
      </c>
      <c r="AA323" t="s">
        <v>270</v>
      </c>
      <c r="BA323" t="s">
        <v>47</v>
      </c>
      <c r="BB323">
        <v>1.089259259</v>
      </c>
    </row>
    <row r="324" spans="8:54" ht="12.75">
      <c r="H324" s="232">
        <v>300</v>
      </c>
      <c r="I324" s="232" t="s">
        <v>47</v>
      </c>
      <c r="J324" s="232" t="s">
        <v>47</v>
      </c>
      <c r="K324" s="232"/>
      <c r="L324" s="232">
        <v>200</v>
      </c>
      <c r="M324" s="414">
        <v>0</v>
      </c>
      <c r="N324" s="423"/>
      <c r="O324" s="232">
        <v>1.089259259</v>
      </c>
      <c r="P324" s="426"/>
      <c r="Q324" s="426">
        <v>0</v>
      </c>
      <c r="R324" s="426">
        <v>0</v>
      </c>
      <c r="S324" s="426">
        <v>0</v>
      </c>
      <c r="T324" s="429">
        <v>0.7</v>
      </c>
      <c r="U324" s="426">
        <v>0.34386744998119556</v>
      </c>
      <c r="V324" s="426">
        <v>0.005</v>
      </c>
      <c r="AA324" t="s">
        <v>46</v>
      </c>
      <c r="BA324" t="s">
        <v>47</v>
      </c>
      <c r="BB324">
        <v>1.089259259</v>
      </c>
    </row>
    <row r="325" spans="8:54" ht="12.75">
      <c r="H325" s="232">
        <v>318</v>
      </c>
      <c r="I325" s="232" t="s">
        <v>47</v>
      </c>
      <c r="J325" s="232" t="s">
        <v>47</v>
      </c>
      <c r="K325" s="232"/>
      <c r="L325" s="232">
        <v>200</v>
      </c>
      <c r="M325" s="232">
        <v>0</v>
      </c>
      <c r="N325" s="232"/>
      <c r="O325" s="232">
        <v>1.089259259</v>
      </c>
      <c r="P325" s="429"/>
      <c r="Q325" s="429">
        <v>0</v>
      </c>
      <c r="R325" s="429">
        <v>0</v>
      </c>
      <c r="S325" s="429">
        <v>0</v>
      </c>
      <c r="T325" s="429">
        <v>0.7</v>
      </c>
      <c r="U325" s="429">
        <v>0.34342587169435174</v>
      </c>
      <c r="V325" s="429">
        <v>0.005</v>
      </c>
      <c r="AA325" t="s">
        <v>272</v>
      </c>
      <c r="BA325" t="s">
        <v>47</v>
      </c>
      <c r="BB325">
        <v>1.089259259</v>
      </c>
    </row>
    <row r="326" spans="8:54" ht="12.75">
      <c r="H326" s="232">
        <v>333</v>
      </c>
      <c r="I326" s="232" t="s">
        <v>47</v>
      </c>
      <c r="J326" s="232" t="s">
        <v>47</v>
      </c>
      <c r="K326" s="232"/>
      <c r="L326" s="232">
        <v>200</v>
      </c>
      <c r="M326" s="232">
        <v>0</v>
      </c>
      <c r="N326" s="232"/>
      <c r="O326" s="232">
        <v>1.089259259</v>
      </c>
      <c r="P326" s="429"/>
      <c r="Q326" s="429">
        <v>0</v>
      </c>
      <c r="R326" s="429">
        <v>0</v>
      </c>
      <c r="S326" s="429">
        <v>0</v>
      </c>
      <c r="T326" s="429">
        <v>0.7</v>
      </c>
      <c r="U326" s="429">
        <v>0.34386744998119556</v>
      </c>
      <c r="V326" s="429">
        <v>0.005</v>
      </c>
      <c r="AA326" t="s">
        <v>47</v>
      </c>
      <c r="BA326" t="s">
        <v>47</v>
      </c>
      <c r="BB326">
        <v>1.089259259</v>
      </c>
    </row>
    <row r="327" spans="8:54" ht="12.75">
      <c r="H327" s="232">
        <v>351</v>
      </c>
      <c r="I327" s="232" t="s">
        <v>47</v>
      </c>
      <c r="J327" s="232" t="s">
        <v>47</v>
      </c>
      <c r="K327" s="232"/>
      <c r="L327" s="232">
        <v>200</v>
      </c>
      <c r="M327" s="232">
        <v>0</v>
      </c>
      <c r="N327" s="232"/>
      <c r="O327" s="232">
        <v>1.089259259</v>
      </c>
      <c r="P327" s="429"/>
      <c r="Q327" s="429">
        <v>0</v>
      </c>
      <c r="R327" s="429">
        <v>0</v>
      </c>
      <c r="S327" s="429">
        <v>0</v>
      </c>
      <c r="T327" s="429">
        <v>0.7</v>
      </c>
      <c r="U327" s="429">
        <v>0.34342587169435174</v>
      </c>
      <c r="V327" s="429">
        <v>0.005</v>
      </c>
      <c r="AA327" t="s">
        <v>286</v>
      </c>
      <c r="BA327" t="s">
        <v>47</v>
      </c>
      <c r="BB327">
        <v>1.089259259</v>
      </c>
    </row>
    <row r="328" spans="8:54" ht="12.75">
      <c r="H328" s="232">
        <v>366</v>
      </c>
      <c r="I328" s="232" t="s">
        <v>47</v>
      </c>
      <c r="J328" s="232" t="s">
        <v>47</v>
      </c>
      <c r="K328" s="232"/>
      <c r="L328" s="232">
        <v>200</v>
      </c>
      <c r="M328" s="232">
        <v>0</v>
      </c>
      <c r="N328" s="232"/>
      <c r="O328" s="232">
        <v>1.089259259</v>
      </c>
      <c r="P328" s="429"/>
      <c r="Q328" s="429">
        <v>0</v>
      </c>
      <c r="R328" s="429">
        <v>0</v>
      </c>
      <c r="S328" s="429">
        <v>0</v>
      </c>
      <c r="T328" s="429">
        <v>0.7</v>
      </c>
      <c r="U328" s="429">
        <v>0.34386744998119556</v>
      </c>
      <c r="V328" s="429">
        <v>0.005</v>
      </c>
      <c r="AA328" t="s">
        <v>282</v>
      </c>
      <c r="BA328" t="s">
        <v>47</v>
      </c>
      <c r="BB328">
        <v>1.089259259</v>
      </c>
    </row>
    <row r="329" spans="8:54" ht="12.75">
      <c r="H329" s="232">
        <v>384</v>
      </c>
      <c r="I329" s="232" t="s">
        <v>47</v>
      </c>
      <c r="J329" s="232" t="s">
        <v>47</v>
      </c>
      <c r="K329" s="232"/>
      <c r="L329" s="232">
        <v>200</v>
      </c>
      <c r="M329" s="232">
        <v>0</v>
      </c>
      <c r="N329" s="232"/>
      <c r="O329" s="232">
        <v>1.089259259</v>
      </c>
      <c r="P329" s="429"/>
      <c r="Q329" s="429">
        <v>0</v>
      </c>
      <c r="R329" s="429">
        <v>0</v>
      </c>
      <c r="S329" s="429">
        <v>0</v>
      </c>
      <c r="T329" s="429">
        <v>0.7</v>
      </c>
      <c r="U329" s="429">
        <v>0.34342587169435174</v>
      </c>
      <c r="V329" s="429">
        <v>0.005</v>
      </c>
      <c r="AA329" t="s">
        <v>285</v>
      </c>
      <c r="BA329" t="s">
        <v>47</v>
      </c>
      <c r="BB329">
        <v>1.089259259</v>
      </c>
    </row>
    <row r="330" spans="8:54" ht="12.75">
      <c r="H330" s="232">
        <v>63</v>
      </c>
      <c r="I330" s="232" t="s">
        <v>48</v>
      </c>
      <c r="J330" s="232" t="str">
        <f>+'Input Data'!I45</f>
        <v>PVD_Met</v>
      </c>
      <c r="K330" s="232"/>
      <c r="L330" s="232">
        <v>60</v>
      </c>
      <c r="M330" s="414">
        <v>1.5</v>
      </c>
      <c r="N330" s="423"/>
      <c r="O330" s="232">
        <v>3.204055556</v>
      </c>
      <c r="P330" s="426"/>
      <c r="Q330" s="74">
        <f>+WS*LY^(($H375-1)/$B$24)*P330</f>
        <v>0</v>
      </c>
      <c r="R330" s="74">
        <f>+WS*LY^(($H375-1)/$B$24)*M330</f>
        <v>37409.04329607433</v>
      </c>
      <c r="S330" s="74">
        <f>+WS*LY^(($H375-1)/$B$24)*N330</f>
        <v>0</v>
      </c>
      <c r="T330" s="70">
        <f>+'Input Data'!$J$45</f>
        <v>0.49</v>
      </c>
      <c r="U330" s="74">
        <f>+WS*(LY^((+H375-1)/$B$24))*(1/L330)/(1-T330)/720</f>
        <v>1.131960884049695</v>
      </c>
      <c r="V330" s="74">
        <f>1/L330</f>
        <v>0.016666666666666666</v>
      </c>
      <c r="BA330" t="s">
        <v>282</v>
      </c>
      <c r="BB330">
        <v>3.204055556</v>
      </c>
    </row>
    <row r="331" spans="8:54" ht="12.75">
      <c r="H331" s="232">
        <v>89</v>
      </c>
      <c r="I331" s="232" t="s">
        <v>49</v>
      </c>
      <c r="J331" s="232" t="str">
        <f>+'Input Data'!I46</f>
        <v>PVD_Met(C) </v>
      </c>
      <c r="K331" s="232"/>
      <c r="L331" s="232">
        <v>40</v>
      </c>
      <c r="M331" s="414">
        <v>1.5</v>
      </c>
      <c r="N331" s="423"/>
      <c r="O331" s="232">
        <v>3.204055556</v>
      </c>
      <c r="P331" s="426"/>
      <c r="Q331" s="74">
        <f>+WS*LY^(($H489-1)/$B$24)*P331</f>
        <v>0</v>
      </c>
      <c r="R331" s="74">
        <f>+WS*LY^(($H489-1)/$B$24)*M331</f>
        <v>37501.93764986477</v>
      </c>
      <c r="S331" s="74">
        <f>+WS*LY^(($H489-1)/$B$24)*N331</f>
        <v>0</v>
      </c>
      <c r="T331" s="70">
        <f>+'Input Data'!$J$46</f>
        <v>0.49</v>
      </c>
      <c r="U331" s="74">
        <f>+WS*(LY^((+H489-1)/$B$24))*(1/L331)/(1-T331)/720</f>
        <v>1.7021576638464404</v>
      </c>
      <c r="V331" s="74">
        <f>1/L331</f>
        <v>0.025</v>
      </c>
      <c r="BA331" t="s">
        <v>281</v>
      </c>
      <c r="BB331">
        <v>3.204055556</v>
      </c>
    </row>
    <row r="332" spans="8:54" ht="12.75">
      <c r="H332" s="232">
        <v>264</v>
      </c>
      <c r="I332" s="232" t="s">
        <v>49</v>
      </c>
      <c r="J332" s="232" t="s">
        <v>281</v>
      </c>
      <c r="K332" s="232"/>
      <c r="L332" s="232">
        <v>40</v>
      </c>
      <c r="M332" s="232">
        <v>1.5</v>
      </c>
      <c r="N332" s="232"/>
      <c r="O332" s="232">
        <v>3.204055556</v>
      </c>
      <c r="P332" s="429"/>
      <c r="Q332" s="429">
        <v>0</v>
      </c>
      <c r="R332" s="429">
        <v>22287.38338003565</v>
      </c>
      <c r="S332" s="429">
        <v>0</v>
      </c>
      <c r="T332" s="429">
        <v>0.49</v>
      </c>
      <c r="U332" s="429">
        <v>1.011591475128706</v>
      </c>
      <c r="V332" s="429">
        <v>0.025</v>
      </c>
      <c r="AA332" t="s">
        <v>282</v>
      </c>
      <c r="BA332" t="s">
        <v>281</v>
      </c>
      <c r="BB332">
        <v>3.204055556</v>
      </c>
    </row>
    <row r="333" spans="8:54" ht="12.75">
      <c r="H333" s="232">
        <v>297</v>
      </c>
      <c r="I333" s="232" t="s">
        <v>49</v>
      </c>
      <c r="J333" s="232" t="s">
        <v>281</v>
      </c>
      <c r="K333" s="232"/>
      <c r="L333" s="232">
        <v>40</v>
      </c>
      <c r="M333" s="414">
        <v>1.5</v>
      </c>
      <c r="N333" s="423"/>
      <c r="O333" s="232">
        <v>3.204055556</v>
      </c>
      <c r="P333" s="426"/>
      <c r="Q333" s="426">
        <v>0</v>
      </c>
      <c r="R333" s="426">
        <v>22287.38338003565</v>
      </c>
      <c r="S333" s="426">
        <v>0</v>
      </c>
      <c r="T333" s="429">
        <v>0.49</v>
      </c>
      <c r="U333" s="426">
        <v>1.011591475128706</v>
      </c>
      <c r="V333" s="426">
        <v>0.025</v>
      </c>
      <c r="AA333" t="s">
        <v>286</v>
      </c>
      <c r="BA333" t="s">
        <v>281</v>
      </c>
      <c r="BB333">
        <v>3.204055556</v>
      </c>
    </row>
    <row r="334" spans="8:54" ht="12.75">
      <c r="H334" s="232">
        <v>330</v>
      </c>
      <c r="I334" s="232" t="s">
        <v>49</v>
      </c>
      <c r="J334" s="232" t="s">
        <v>281</v>
      </c>
      <c r="K334" s="232"/>
      <c r="L334" s="232">
        <v>40</v>
      </c>
      <c r="M334" s="232">
        <v>1.5</v>
      </c>
      <c r="N334" s="232"/>
      <c r="O334" s="232">
        <v>3.204055556</v>
      </c>
      <c r="P334" s="429"/>
      <c r="Q334" s="429">
        <v>0</v>
      </c>
      <c r="R334" s="429">
        <v>22287.38338003565</v>
      </c>
      <c r="S334" s="429">
        <v>0</v>
      </c>
      <c r="T334" s="429">
        <v>0.49</v>
      </c>
      <c r="U334" s="429">
        <v>1.011591475128706</v>
      </c>
      <c r="V334" s="429">
        <v>0.025</v>
      </c>
      <c r="AA334" t="s">
        <v>285</v>
      </c>
      <c r="BA334" t="s">
        <v>281</v>
      </c>
      <c r="BB334">
        <v>3.204055556</v>
      </c>
    </row>
    <row r="335" spans="8:54" ht="12.75">
      <c r="H335" s="232">
        <v>363</v>
      </c>
      <c r="I335" s="232" t="s">
        <v>49</v>
      </c>
      <c r="J335" s="232" t="s">
        <v>281</v>
      </c>
      <c r="K335" s="232"/>
      <c r="L335" s="232">
        <v>40</v>
      </c>
      <c r="M335" s="232">
        <v>1.5</v>
      </c>
      <c r="N335" s="232"/>
      <c r="O335" s="232">
        <v>3.204055556</v>
      </c>
      <c r="P335" s="429"/>
      <c r="Q335" s="429">
        <v>0</v>
      </c>
      <c r="R335" s="429">
        <v>22287.38338003565</v>
      </c>
      <c r="S335" s="429">
        <v>0</v>
      </c>
      <c r="T335" s="429">
        <v>0.49</v>
      </c>
      <c r="U335" s="429">
        <v>1.011591475128706</v>
      </c>
      <c r="V335" s="429">
        <v>0.025</v>
      </c>
      <c r="BA335" t="s">
        <v>281</v>
      </c>
      <c r="BB335">
        <v>3.204055556</v>
      </c>
    </row>
    <row r="336" spans="8:54" ht="12.75">
      <c r="H336" s="232">
        <v>65</v>
      </c>
      <c r="I336" s="232" t="s">
        <v>50</v>
      </c>
      <c r="J336" s="232" t="str">
        <f>+'Input Data'!I47</f>
        <v>RTP_OxAn(C) </v>
      </c>
      <c r="K336" s="232"/>
      <c r="L336" s="232">
        <v>50</v>
      </c>
      <c r="M336" s="414">
        <v>0.5</v>
      </c>
      <c r="N336" s="423"/>
      <c r="O336" s="232">
        <v>3.204055556</v>
      </c>
      <c r="P336" s="426"/>
      <c r="Q336" s="74">
        <f>+WS*LY^(($H381-1)/$B$24)*P336</f>
        <v>0</v>
      </c>
      <c r="R336" s="74">
        <f>+WS*LY^(($H381-1)/$B$24)*M336</f>
        <v>12401.571979260623</v>
      </c>
      <c r="S336" s="74">
        <f>+WS*LY^(($H381-1)/$B$24)*N336</f>
        <v>0</v>
      </c>
      <c r="T336" s="70">
        <f>+'Input Data'!$J$47</f>
        <v>0.43000000000000005</v>
      </c>
      <c r="U336" s="74">
        <f>+WS*(LY^((+H381-1)/$B$24))*(1/L336)/(1-T336)/720</f>
        <v>1.2087302124035695</v>
      </c>
      <c r="V336" s="74">
        <f>1/L336</f>
        <v>0.02</v>
      </c>
      <c r="BA336" t="s">
        <v>283</v>
      </c>
      <c r="BB336">
        <v>3.204055556</v>
      </c>
    </row>
    <row r="337" spans="8:54" ht="12.75">
      <c r="H337" s="232">
        <v>67</v>
      </c>
      <c r="I337" s="232" t="s">
        <v>51</v>
      </c>
      <c r="J337" s="232" t="str">
        <f>+'Input Data'!I47</f>
        <v>RTP_OxAn(C) </v>
      </c>
      <c r="K337" s="232"/>
      <c r="L337" s="232">
        <v>50</v>
      </c>
      <c r="M337" s="414">
        <v>0.5</v>
      </c>
      <c r="N337" s="423"/>
      <c r="O337" s="232">
        <v>3.204055556</v>
      </c>
      <c r="P337" s="426"/>
      <c r="Q337" s="74">
        <f>+WS*LY^(($H382-1)/$B$24)*P337</f>
        <v>0</v>
      </c>
      <c r="R337" s="74">
        <f>+WS*LY^(($H382-1)/$B$24)*M337</f>
        <v>12395.80629192323</v>
      </c>
      <c r="S337" s="74">
        <f>+WS*LY^(($H382-1)/$B$24)*N337</f>
        <v>0</v>
      </c>
      <c r="T337" s="70">
        <f>+'Input Data'!$J$47</f>
        <v>0.43000000000000005</v>
      </c>
      <c r="U337" s="74">
        <f>+WS*(LY^((+H382-1)/$B$24))*(1/L337)/(1-T337)/720</f>
        <v>1.2081682545734145</v>
      </c>
      <c r="V337" s="74">
        <f>1/L337</f>
        <v>0.02</v>
      </c>
      <c r="BA337" t="s">
        <v>283</v>
      </c>
      <c r="BB337">
        <v>3.204055556</v>
      </c>
    </row>
    <row r="338" spans="8:54" ht="12.75">
      <c r="H338" s="232">
        <v>101</v>
      </c>
      <c r="I338" s="232" t="s">
        <v>52</v>
      </c>
      <c r="J338" s="232" t="str">
        <f>+'Input Data'!I48</f>
        <v>Test</v>
      </c>
      <c r="K338" s="232"/>
      <c r="L338" s="232">
        <v>25</v>
      </c>
      <c r="M338" s="414">
        <v>0</v>
      </c>
      <c r="N338" s="423"/>
      <c r="O338" s="232">
        <v>1.001944444</v>
      </c>
      <c r="P338" s="426"/>
      <c r="Q338" s="74">
        <f>+WS*LY^(($H496-1)/$B$24)*P338</f>
        <v>0</v>
      </c>
      <c r="R338" s="74">
        <f>+WS*LY^(($H496-1)/$B$24)*M338</f>
        <v>0</v>
      </c>
      <c r="S338" s="74">
        <f>+WS*LY^(($H496-1)/$B$24)*N338</f>
        <v>0</v>
      </c>
      <c r="T338" s="70">
        <f>+'Input Data'!$J$48</f>
        <v>0.61</v>
      </c>
      <c r="U338" s="74">
        <f>+WS*(LY^((+H496-1)/$B$24))*(1/L338)/(1-T338)/720</f>
        <v>3.561437573586398</v>
      </c>
      <c r="V338" s="74">
        <f>1/L338</f>
        <v>0.04</v>
      </c>
      <c r="BA338" t="s">
        <v>52</v>
      </c>
      <c r="BB338">
        <v>1.001944444</v>
      </c>
    </row>
    <row r="339" spans="8:54" ht="12.75">
      <c r="H339" s="232">
        <v>125</v>
      </c>
      <c r="I339" s="232" t="s">
        <v>52</v>
      </c>
      <c r="J339" s="232" t="str">
        <f>+'Input Data'!I48</f>
        <v>Test</v>
      </c>
      <c r="K339" s="232"/>
      <c r="L339" s="232">
        <v>25</v>
      </c>
      <c r="M339" s="414">
        <v>0</v>
      </c>
      <c r="N339" s="423"/>
      <c r="O339" s="232">
        <v>1.001944444</v>
      </c>
      <c r="P339" s="426"/>
      <c r="Q339" s="74">
        <f>+WS*LY^(($H497-1)/$B$24)*P339</f>
        <v>0</v>
      </c>
      <c r="R339" s="74">
        <f>+WS*LY^(($H497-1)/$B$24)*M339</f>
        <v>0</v>
      </c>
      <c r="S339" s="74">
        <f>+WS*LY^(($H497-1)/$B$24)*N339</f>
        <v>0</v>
      </c>
      <c r="T339" s="70">
        <f>+'Input Data'!$J$48</f>
        <v>0.61</v>
      </c>
      <c r="U339" s="74">
        <f>+WS*(LY^((+H497-1)/$B$24))*(1/L339)/(1-T339)/720</f>
        <v>3.561437573586398</v>
      </c>
      <c r="V339" s="74">
        <f>1/L339</f>
        <v>0.04</v>
      </c>
      <c r="BA339" t="s">
        <v>52</v>
      </c>
      <c r="BB339">
        <v>1.001944444</v>
      </c>
    </row>
    <row r="340" spans="8:54" ht="12.75">
      <c r="H340" s="232">
        <v>276</v>
      </c>
      <c r="I340" s="232" t="s">
        <v>52</v>
      </c>
      <c r="J340" s="232" t="s">
        <v>52</v>
      </c>
      <c r="K340" s="232"/>
      <c r="L340" s="232">
        <v>25</v>
      </c>
      <c r="M340" s="232">
        <v>0</v>
      </c>
      <c r="N340" s="232"/>
      <c r="O340" s="232">
        <v>1.001944444</v>
      </c>
      <c r="P340" s="429"/>
      <c r="Q340" s="429">
        <v>0</v>
      </c>
      <c r="R340" s="429">
        <v>0</v>
      </c>
      <c r="S340" s="429">
        <v>0</v>
      </c>
      <c r="T340" s="429">
        <v>0.61</v>
      </c>
      <c r="U340" s="429">
        <v>2.1147482456029927</v>
      </c>
      <c r="V340" s="429">
        <v>0.04</v>
      </c>
      <c r="AA340" t="s">
        <v>282</v>
      </c>
      <c r="BA340" t="s">
        <v>52</v>
      </c>
      <c r="BB340">
        <v>1.001944444</v>
      </c>
    </row>
    <row r="341" spans="8:54" ht="12.75">
      <c r="H341" s="232">
        <v>309</v>
      </c>
      <c r="I341" s="232" t="s">
        <v>52</v>
      </c>
      <c r="J341" s="232" t="s">
        <v>52</v>
      </c>
      <c r="K341" s="232"/>
      <c r="L341" s="232">
        <v>25</v>
      </c>
      <c r="M341" s="414">
        <v>0</v>
      </c>
      <c r="N341" s="423"/>
      <c r="O341" s="232">
        <v>1.001944444</v>
      </c>
      <c r="P341" s="426"/>
      <c r="Q341" s="426">
        <v>0</v>
      </c>
      <c r="R341" s="426">
        <v>0</v>
      </c>
      <c r="S341" s="426">
        <v>0</v>
      </c>
      <c r="T341" s="429">
        <v>0.61</v>
      </c>
      <c r="U341" s="426">
        <v>2.1147482456029927</v>
      </c>
      <c r="V341" s="426">
        <v>0.04</v>
      </c>
      <c r="AA341" t="s">
        <v>282</v>
      </c>
      <c r="BA341" t="s">
        <v>52</v>
      </c>
      <c r="BB341">
        <v>1.001944444</v>
      </c>
    </row>
    <row r="342" spans="8:54" ht="12.75">
      <c r="H342" s="232">
        <v>342</v>
      </c>
      <c r="I342" s="232" t="s">
        <v>52</v>
      </c>
      <c r="J342" s="232" t="s">
        <v>52</v>
      </c>
      <c r="K342" s="232"/>
      <c r="L342" s="232">
        <v>25</v>
      </c>
      <c r="M342" s="232">
        <v>0</v>
      </c>
      <c r="N342" s="232"/>
      <c r="O342" s="232">
        <v>1.001944444</v>
      </c>
      <c r="P342" s="429"/>
      <c r="Q342" s="429">
        <v>0</v>
      </c>
      <c r="R342" s="429">
        <v>0</v>
      </c>
      <c r="S342" s="429">
        <v>0</v>
      </c>
      <c r="T342" s="429">
        <v>0.61</v>
      </c>
      <c r="U342" s="429">
        <v>2.1147482456029927</v>
      </c>
      <c r="V342" s="429">
        <v>0.04</v>
      </c>
      <c r="BA342" t="s">
        <v>52</v>
      </c>
      <c r="BB342">
        <v>1.001944444</v>
      </c>
    </row>
    <row r="343" spans="8:54" ht="12.75">
      <c r="H343" s="232">
        <v>375</v>
      </c>
      <c r="I343" s="232" t="s">
        <v>52</v>
      </c>
      <c r="J343" s="232" t="s">
        <v>52</v>
      </c>
      <c r="K343" s="232"/>
      <c r="L343" s="232">
        <v>25</v>
      </c>
      <c r="M343" s="232">
        <v>0</v>
      </c>
      <c r="N343" s="232"/>
      <c r="O343" s="232">
        <v>1.001944444</v>
      </c>
      <c r="P343" s="429"/>
      <c r="Q343" s="429">
        <v>0</v>
      </c>
      <c r="R343" s="429">
        <v>0</v>
      </c>
      <c r="S343" s="429">
        <v>0</v>
      </c>
      <c r="T343" s="429">
        <v>0.61</v>
      </c>
      <c r="U343" s="429">
        <v>2.1147482456029927</v>
      </c>
      <c r="V343" s="429">
        <v>0.04</v>
      </c>
      <c r="BA343" t="s">
        <v>52</v>
      </c>
      <c r="BB343">
        <v>1.001944444</v>
      </c>
    </row>
    <row r="344" spans="8:54" ht="12.75">
      <c r="H344" s="232">
        <v>11</v>
      </c>
      <c r="I344" s="232" t="s">
        <v>53</v>
      </c>
      <c r="J344" s="232" t="str">
        <f>+'Input Data'!I49</f>
        <v>VP_HF_Clean</v>
      </c>
      <c r="K344" s="232"/>
      <c r="L344" s="232">
        <v>40</v>
      </c>
      <c r="M344" s="414">
        <v>0.3</v>
      </c>
      <c r="N344" s="423"/>
      <c r="O344" s="232">
        <v>1.283395062</v>
      </c>
      <c r="P344" s="426"/>
      <c r="Q344" s="74">
        <f>+WS*LY^(($H344-1)/$B$24)*P344</f>
        <v>0</v>
      </c>
      <c r="R344" s="74">
        <f>+WS*LY^(($H344-1)/$B$24)*M344</f>
        <v>7496.125801359061</v>
      </c>
      <c r="S344" s="74">
        <f>+WS*LY^(($H344-1)/$B$24)*N344</f>
        <v>0</v>
      </c>
      <c r="T344" s="70">
        <f>+'Input Data'!$J$49</f>
        <v>0.55</v>
      </c>
      <c r="U344" s="74">
        <f>+WS*(LY^((+H344-1)/$B$24))*(1/L344)/(1-T344)/720</f>
        <v>1.9280158954112818</v>
      </c>
      <c r="V344" s="74">
        <f aca="true" t="shared" si="32" ref="V344:V352">1/L344</f>
        <v>0.025</v>
      </c>
      <c r="AA344" t="s">
        <v>253</v>
      </c>
      <c r="BA344" t="s">
        <v>284</v>
      </c>
      <c r="BB344">
        <v>1.283395062</v>
      </c>
    </row>
    <row r="345" spans="8:54" ht="12.75">
      <c r="H345" s="232">
        <v>62</v>
      </c>
      <c r="I345" s="232" t="s">
        <v>53</v>
      </c>
      <c r="J345" s="232" t="str">
        <f>+'Input Data'!I49</f>
        <v>VP_HF_Clean</v>
      </c>
      <c r="K345" s="232"/>
      <c r="L345" s="232">
        <v>40</v>
      </c>
      <c r="M345" s="414">
        <v>0.3</v>
      </c>
      <c r="N345" s="423"/>
      <c r="O345" s="232">
        <v>1.283395062</v>
      </c>
      <c r="P345" s="426"/>
      <c r="Q345" s="74">
        <f>+WS*LY^(($H390-1)/$B$24)*P345</f>
        <v>0</v>
      </c>
      <c r="R345" s="74">
        <f>+WS*LY^(($H390-1)/$B$24)*M345</f>
        <v>7409.866313251285</v>
      </c>
      <c r="S345" s="74">
        <f>+WS*LY^(($H390-1)/$B$24)*N345</f>
        <v>0</v>
      </c>
      <c r="T345" s="70">
        <f>+'Input Data'!$J$49</f>
        <v>0.55</v>
      </c>
      <c r="U345" s="74">
        <f>+WS*(LY^((+H390-1)/$B$24))*(1/L345)/(1-T345)/720</f>
        <v>1.905829813079034</v>
      </c>
      <c r="V345" s="74">
        <f t="shared" si="32"/>
        <v>0.025</v>
      </c>
      <c r="BA345" t="s">
        <v>284</v>
      </c>
      <c r="BB345">
        <v>1.283395062</v>
      </c>
    </row>
    <row r="346" spans="8:54" ht="12.75">
      <c r="H346" s="232">
        <v>66</v>
      </c>
      <c r="I346" s="232" t="s">
        <v>54</v>
      </c>
      <c r="J346" s="232" t="str">
        <f>+'Input Data'!I50</f>
        <v>Wet_Bench</v>
      </c>
      <c r="K346" s="232"/>
      <c r="L346" s="232">
        <v>125</v>
      </c>
      <c r="M346" s="414">
        <v>0.5</v>
      </c>
      <c r="N346" s="423"/>
      <c r="O346" s="232">
        <v>1.393263889</v>
      </c>
      <c r="P346" s="426"/>
      <c r="Q346" s="74">
        <f>+WS*LY^(($H391-1)/$B$24)*P346</f>
        <v>0</v>
      </c>
      <c r="R346" s="74">
        <f>+WS*LY^(($H391-1)/$B$24)*M346</f>
        <v>12344.035581633634</v>
      </c>
      <c r="S346" s="74">
        <f>+WS*LY^(($H391-1)/$B$24)*N346</f>
        <v>0</v>
      </c>
      <c r="T346" s="70">
        <f>+'Input Data'!$J$50</f>
        <v>0.45999999999999996</v>
      </c>
      <c r="U346" s="74">
        <f>+WS*(LY^((+H391-1)/$B$24))*(1/L346)/(1-T346)/720</f>
        <v>0.5079850033594088</v>
      </c>
      <c r="V346" s="74">
        <f t="shared" si="32"/>
        <v>0.008</v>
      </c>
      <c r="BA346" t="s">
        <v>286</v>
      </c>
      <c r="BB346">
        <v>1.393263889</v>
      </c>
    </row>
    <row r="347" spans="8:54" ht="12.75">
      <c r="H347" s="232">
        <v>83</v>
      </c>
      <c r="I347" s="232" t="s">
        <v>55</v>
      </c>
      <c r="J347" s="232" t="str">
        <f>+'Input Data'!I50</f>
        <v>Wet_Bench</v>
      </c>
      <c r="K347" s="232"/>
      <c r="L347" s="232">
        <v>125</v>
      </c>
      <c r="M347" s="414">
        <v>0.5</v>
      </c>
      <c r="N347" s="423"/>
      <c r="O347" s="232">
        <v>1.393263889</v>
      </c>
      <c r="P347" s="426"/>
      <c r="Q347" s="74">
        <f aca="true" t="shared" si="33" ref="Q347:Q352">+WS*LY^(($H505-1)/$B$24)*P347</f>
        <v>0</v>
      </c>
      <c r="R347" s="74">
        <f aca="true" t="shared" si="34" ref="R347:S352">+WS*LY^(($H505-1)/$B$24)*M347</f>
        <v>12500.645883288256</v>
      </c>
      <c r="S347" s="74">
        <f t="shared" si="34"/>
        <v>0</v>
      </c>
      <c r="T347" s="70">
        <f>+'Input Data'!$J$50</f>
        <v>0.45999999999999996</v>
      </c>
      <c r="U347" s="74">
        <f aca="true" t="shared" si="35" ref="U347:U352">+WS*(LY^((+H505-1)/$B$24))*(1/L347)/(1-T347)/720</f>
        <v>0.5144298717402574</v>
      </c>
      <c r="V347" s="74">
        <f t="shared" si="32"/>
        <v>0.008</v>
      </c>
      <c r="BA347" t="s">
        <v>286</v>
      </c>
      <c r="BB347">
        <v>1.393263889</v>
      </c>
    </row>
    <row r="348" spans="8:54" ht="12.75">
      <c r="H348" s="232">
        <v>97</v>
      </c>
      <c r="I348" s="232" t="s">
        <v>55</v>
      </c>
      <c r="J348" s="232" t="str">
        <f>+'Input Data'!I50</f>
        <v>Wet_Bench</v>
      </c>
      <c r="K348" s="232"/>
      <c r="L348" s="232">
        <v>125</v>
      </c>
      <c r="M348" s="414">
        <v>0.5</v>
      </c>
      <c r="N348" s="423"/>
      <c r="O348" s="232">
        <v>1.393263889</v>
      </c>
      <c r="P348" s="426"/>
      <c r="Q348" s="74">
        <f t="shared" si="33"/>
        <v>0</v>
      </c>
      <c r="R348" s="74">
        <f t="shared" si="34"/>
        <v>12500.645883288256</v>
      </c>
      <c r="S348" s="74">
        <f t="shared" si="34"/>
        <v>0</v>
      </c>
      <c r="T348" s="70">
        <f>+'Input Data'!$J$50</f>
        <v>0.45999999999999996</v>
      </c>
      <c r="U348" s="74">
        <f t="shared" si="35"/>
        <v>0.5144298717402574</v>
      </c>
      <c r="V348" s="74">
        <f t="shared" si="32"/>
        <v>0.008</v>
      </c>
      <c r="BA348" t="s">
        <v>286</v>
      </c>
      <c r="BB348">
        <v>1.393263889</v>
      </c>
    </row>
    <row r="349" spans="8:54" ht="12.75">
      <c r="H349" s="232">
        <v>102</v>
      </c>
      <c r="I349" s="232" t="s">
        <v>56</v>
      </c>
      <c r="J349" s="232" t="str">
        <f>+'Input Data'!I50</f>
        <v>Wet_Bench</v>
      </c>
      <c r="K349" s="232"/>
      <c r="L349" s="232">
        <v>125</v>
      </c>
      <c r="M349" s="414">
        <v>0.5</v>
      </c>
      <c r="N349" s="423"/>
      <c r="O349" s="232">
        <v>1.393263889</v>
      </c>
      <c r="P349" s="426"/>
      <c r="Q349" s="74">
        <f t="shared" si="33"/>
        <v>0</v>
      </c>
      <c r="R349" s="74">
        <f t="shared" si="34"/>
        <v>12500.645883288256</v>
      </c>
      <c r="S349" s="74">
        <f t="shared" si="34"/>
        <v>0</v>
      </c>
      <c r="T349" s="70">
        <f>+'Input Data'!$J$50</f>
        <v>0.45999999999999996</v>
      </c>
      <c r="U349" s="74">
        <f t="shared" si="35"/>
        <v>0.5144298717402574</v>
      </c>
      <c r="V349" s="74">
        <f t="shared" si="32"/>
        <v>0.008</v>
      </c>
      <c r="BA349" t="s">
        <v>286</v>
      </c>
      <c r="BB349">
        <v>1.393263889</v>
      </c>
    </row>
    <row r="350" spans="8:54" ht="12.75">
      <c r="H350" s="232">
        <v>114</v>
      </c>
      <c r="I350" s="232" t="s">
        <v>55</v>
      </c>
      <c r="J350" s="232" t="str">
        <f>+'Input Data'!I50</f>
        <v>Wet_Bench</v>
      </c>
      <c r="K350" s="232"/>
      <c r="L350" s="232">
        <v>125</v>
      </c>
      <c r="M350" s="414">
        <v>0.5</v>
      </c>
      <c r="N350" s="423"/>
      <c r="O350" s="232">
        <v>1.393263889</v>
      </c>
      <c r="P350" s="426"/>
      <c r="Q350" s="74">
        <f t="shared" si="33"/>
        <v>0</v>
      </c>
      <c r="R350" s="74">
        <f t="shared" si="34"/>
        <v>12500.645883288256</v>
      </c>
      <c r="S350" s="74">
        <f t="shared" si="34"/>
        <v>0</v>
      </c>
      <c r="T350" s="70">
        <f>+'Input Data'!$J$50</f>
        <v>0.45999999999999996</v>
      </c>
      <c r="U350" s="74">
        <f t="shared" si="35"/>
        <v>0.5144298717402574</v>
      </c>
      <c r="V350" s="74">
        <f t="shared" si="32"/>
        <v>0.008</v>
      </c>
      <c r="BA350" t="s">
        <v>286</v>
      </c>
      <c r="BB350">
        <v>1.393263889</v>
      </c>
    </row>
    <row r="351" spans="8:54" ht="12.75">
      <c r="H351" s="232">
        <v>117</v>
      </c>
      <c r="I351" s="232" t="s">
        <v>56</v>
      </c>
      <c r="J351" s="232" t="str">
        <f>+'Input Data'!I50</f>
        <v>Wet_Bench</v>
      </c>
      <c r="K351" s="232"/>
      <c r="L351" s="232">
        <v>125</v>
      </c>
      <c r="M351" s="414">
        <v>0.5</v>
      </c>
      <c r="N351" s="423"/>
      <c r="O351" s="232">
        <v>1.393263889</v>
      </c>
      <c r="P351" s="426"/>
      <c r="Q351" s="74">
        <f t="shared" si="33"/>
        <v>0</v>
      </c>
      <c r="R351" s="74">
        <f t="shared" si="34"/>
        <v>12500.645883288256</v>
      </c>
      <c r="S351" s="74">
        <f t="shared" si="34"/>
        <v>0</v>
      </c>
      <c r="T351" s="70">
        <f>+'Input Data'!$J$50</f>
        <v>0.45999999999999996</v>
      </c>
      <c r="U351" s="74">
        <f t="shared" si="35"/>
        <v>0.5144298717402574</v>
      </c>
      <c r="V351" s="74">
        <f t="shared" si="32"/>
        <v>0.008</v>
      </c>
      <c r="BA351" t="s">
        <v>286</v>
      </c>
      <c r="BB351">
        <v>1.393263889</v>
      </c>
    </row>
    <row r="352" spans="8:54" ht="12.75">
      <c r="H352" s="232">
        <v>123</v>
      </c>
      <c r="I352" s="232" t="s">
        <v>55</v>
      </c>
      <c r="J352" s="232" t="str">
        <f>+'Input Data'!I50</f>
        <v>Wet_Bench</v>
      </c>
      <c r="K352" s="232"/>
      <c r="L352" s="232">
        <v>125</v>
      </c>
      <c r="M352" s="414">
        <v>0.5</v>
      </c>
      <c r="N352" s="423"/>
      <c r="O352" s="232">
        <v>1.393263889</v>
      </c>
      <c r="P352" s="426"/>
      <c r="Q352" s="74">
        <f t="shared" si="33"/>
        <v>0</v>
      </c>
      <c r="R352" s="74">
        <f t="shared" si="34"/>
        <v>12500.645883288256</v>
      </c>
      <c r="S352" s="74">
        <f t="shared" si="34"/>
        <v>0</v>
      </c>
      <c r="T352" s="70">
        <f>+'Input Data'!$J$50</f>
        <v>0.45999999999999996</v>
      </c>
      <c r="U352" s="74">
        <f t="shared" si="35"/>
        <v>0.5144298717402574</v>
      </c>
      <c r="V352" s="74">
        <f t="shared" si="32"/>
        <v>0.008</v>
      </c>
      <c r="BA352" t="s">
        <v>286</v>
      </c>
      <c r="BB352">
        <v>1.393263889</v>
      </c>
    </row>
    <row r="353" spans="8:54" ht="12.75">
      <c r="H353" s="232">
        <v>272</v>
      </c>
      <c r="I353" s="232" t="s">
        <v>55</v>
      </c>
      <c r="J353" s="232" t="s">
        <v>286</v>
      </c>
      <c r="K353" s="232"/>
      <c r="L353" s="232">
        <v>125</v>
      </c>
      <c r="M353" s="232">
        <v>0.5</v>
      </c>
      <c r="N353" s="232"/>
      <c r="O353" s="232">
        <v>1.393263889</v>
      </c>
      <c r="P353" s="429"/>
      <c r="Q353" s="429">
        <v>0</v>
      </c>
      <c r="R353" s="429">
        <v>7424.88622034942</v>
      </c>
      <c r="S353" s="429">
        <v>0</v>
      </c>
      <c r="T353" s="429">
        <v>0.46</v>
      </c>
      <c r="U353" s="429">
        <v>0.3055508732654082</v>
      </c>
      <c r="V353" s="429">
        <v>0.008</v>
      </c>
      <c r="AA353" t="s">
        <v>279</v>
      </c>
      <c r="BA353" t="s">
        <v>286</v>
      </c>
      <c r="BB353">
        <v>1.393263889</v>
      </c>
    </row>
    <row r="354" spans="8:54" ht="12.75">
      <c r="H354" s="232">
        <v>277</v>
      </c>
      <c r="I354" s="232" t="s">
        <v>56</v>
      </c>
      <c r="J354" s="232" t="s">
        <v>286</v>
      </c>
      <c r="K354" s="232"/>
      <c r="L354" s="232">
        <v>125</v>
      </c>
      <c r="M354" s="232">
        <v>0.5</v>
      </c>
      <c r="N354" s="232"/>
      <c r="O354" s="232">
        <v>1.393263889</v>
      </c>
      <c r="P354" s="429"/>
      <c r="Q354" s="429">
        <v>0</v>
      </c>
      <c r="R354" s="429">
        <v>7422.236467072242</v>
      </c>
      <c r="S354" s="429">
        <v>0</v>
      </c>
      <c r="T354" s="429">
        <v>0.46</v>
      </c>
      <c r="U354" s="429">
        <v>0.3054418299206684</v>
      </c>
      <c r="V354" s="429">
        <v>0.008</v>
      </c>
      <c r="AA354" t="s">
        <v>281</v>
      </c>
      <c r="BA354" t="s">
        <v>286</v>
      </c>
      <c r="BB354">
        <v>1.393263889</v>
      </c>
    </row>
    <row r="355" spans="8:54" ht="12.75">
      <c r="H355" s="232">
        <v>289</v>
      </c>
      <c r="I355" s="232" t="s">
        <v>55</v>
      </c>
      <c r="J355" s="232" t="s">
        <v>286</v>
      </c>
      <c r="K355" s="232"/>
      <c r="L355" s="232">
        <v>125</v>
      </c>
      <c r="M355" s="232">
        <v>0.5</v>
      </c>
      <c r="N355" s="232"/>
      <c r="O355" s="232">
        <v>1.393263889</v>
      </c>
      <c r="P355" s="429"/>
      <c r="Q355" s="429">
        <v>0</v>
      </c>
      <c r="R355" s="429">
        <v>7415.880916733392</v>
      </c>
      <c r="S355" s="429">
        <v>0</v>
      </c>
      <c r="T355" s="429">
        <v>0.46</v>
      </c>
      <c r="U355" s="429">
        <v>0.30518028463923424</v>
      </c>
      <c r="V355" s="429">
        <v>0.008</v>
      </c>
      <c r="AA355" t="s">
        <v>265</v>
      </c>
      <c r="BA355" t="s">
        <v>286</v>
      </c>
      <c r="BB355">
        <v>1.393263889</v>
      </c>
    </row>
    <row r="356" spans="8:54" ht="12.75">
      <c r="H356" s="232">
        <v>292</v>
      </c>
      <c r="I356" s="232" t="s">
        <v>56</v>
      </c>
      <c r="J356" s="232" t="s">
        <v>286</v>
      </c>
      <c r="K356" s="232"/>
      <c r="L356" s="232">
        <v>125</v>
      </c>
      <c r="M356" s="232">
        <v>0.5</v>
      </c>
      <c r="N356" s="232"/>
      <c r="O356" s="232">
        <v>1.393263889</v>
      </c>
      <c r="P356" s="429"/>
      <c r="Q356" s="429">
        <v>0</v>
      </c>
      <c r="R356" s="429">
        <v>7414.2928796687365</v>
      </c>
      <c r="S356" s="429">
        <v>0</v>
      </c>
      <c r="T356" s="429">
        <v>0.46</v>
      </c>
      <c r="U356" s="429">
        <v>0.3051149333197011</v>
      </c>
      <c r="V356" s="429">
        <v>0.008</v>
      </c>
      <c r="AA356" t="s">
        <v>262</v>
      </c>
      <c r="BA356" t="s">
        <v>286</v>
      </c>
      <c r="BB356">
        <v>1.393263889</v>
      </c>
    </row>
    <row r="357" spans="8:54" ht="12.75">
      <c r="H357" s="232">
        <v>305</v>
      </c>
      <c r="I357" s="232" t="s">
        <v>55</v>
      </c>
      <c r="J357" s="232" t="s">
        <v>286</v>
      </c>
      <c r="K357" s="232"/>
      <c r="L357" s="232">
        <v>125</v>
      </c>
      <c r="M357" s="414">
        <v>0.5</v>
      </c>
      <c r="N357" s="423"/>
      <c r="O357" s="232">
        <v>1.393263889</v>
      </c>
      <c r="P357" s="426"/>
      <c r="Q357" s="426">
        <v>0</v>
      </c>
      <c r="R357" s="426">
        <v>7424.88622034942</v>
      </c>
      <c r="S357" s="426">
        <v>0</v>
      </c>
      <c r="T357" s="429">
        <v>0.46</v>
      </c>
      <c r="U357" s="426">
        <v>0.3055508732654082</v>
      </c>
      <c r="V357" s="426">
        <v>0.008</v>
      </c>
      <c r="AA357" t="s">
        <v>249</v>
      </c>
      <c r="BA357" t="s">
        <v>286</v>
      </c>
      <c r="BB357">
        <v>1.393263889</v>
      </c>
    </row>
    <row r="358" spans="8:54" ht="12.75">
      <c r="H358" s="232">
        <v>310</v>
      </c>
      <c r="I358" s="232" t="s">
        <v>56</v>
      </c>
      <c r="J358" s="232" t="s">
        <v>286</v>
      </c>
      <c r="K358" s="232"/>
      <c r="L358" s="232">
        <v>125</v>
      </c>
      <c r="M358" s="414">
        <v>0.5</v>
      </c>
      <c r="N358" s="423"/>
      <c r="O358" s="232">
        <v>1.393263889</v>
      </c>
      <c r="P358" s="426"/>
      <c r="Q358" s="426">
        <v>0</v>
      </c>
      <c r="R358" s="426">
        <v>7422.236467072242</v>
      </c>
      <c r="S358" s="426">
        <v>0</v>
      </c>
      <c r="T358" s="429">
        <v>0.46</v>
      </c>
      <c r="U358" s="426">
        <v>0.3054418299206684</v>
      </c>
      <c r="V358" s="426">
        <v>0.008</v>
      </c>
      <c r="AA358" t="s">
        <v>283</v>
      </c>
      <c r="BA358" t="s">
        <v>286</v>
      </c>
      <c r="BB358">
        <v>1.393263889</v>
      </c>
    </row>
    <row r="359" spans="8:54" ht="12.75">
      <c r="H359" s="232">
        <v>322</v>
      </c>
      <c r="I359" s="232" t="s">
        <v>55</v>
      </c>
      <c r="J359" s="232" t="s">
        <v>286</v>
      </c>
      <c r="K359" s="232"/>
      <c r="L359" s="232">
        <v>125</v>
      </c>
      <c r="M359" s="232">
        <v>0.5</v>
      </c>
      <c r="N359" s="232"/>
      <c r="O359" s="232">
        <v>1.393263889</v>
      </c>
      <c r="P359" s="429"/>
      <c r="Q359" s="429">
        <v>0</v>
      </c>
      <c r="R359" s="429">
        <v>7415.880916733392</v>
      </c>
      <c r="S359" s="429">
        <v>0</v>
      </c>
      <c r="T359" s="429">
        <v>0.46</v>
      </c>
      <c r="U359" s="429">
        <v>0.30518028463923424</v>
      </c>
      <c r="V359" s="429">
        <v>0.008</v>
      </c>
      <c r="AA359" t="s">
        <v>23</v>
      </c>
      <c r="BA359" t="s">
        <v>286</v>
      </c>
      <c r="BB359">
        <v>1.393263889</v>
      </c>
    </row>
    <row r="360" spans="8:54" ht="12.75">
      <c r="H360" s="232">
        <v>325</v>
      </c>
      <c r="I360" s="232" t="s">
        <v>56</v>
      </c>
      <c r="J360" s="232" t="s">
        <v>286</v>
      </c>
      <c r="K360" s="232"/>
      <c r="L360" s="232">
        <v>125</v>
      </c>
      <c r="M360" s="232">
        <v>0.5</v>
      </c>
      <c r="N360" s="232"/>
      <c r="O360" s="232">
        <v>1.393263889</v>
      </c>
      <c r="P360" s="429"/>
      <c r="Q360" s="429">
        <v>0</v>
      </c>
      <c r="R360" s="429">
        <v>7414.2928796687365</v>
      </c>
      <c r="S360" s="429">
        <v>0</v>
      </c>
      <c r="T360" s="429">
        <v>0.46</v>
      </c>
      <c r="U360" s="429">
        <v>0.3051149333197011</v>
      </c>
      <c r="V360" s="429">
        <v>0.008</v>
      </c>
      <c r="AA360" t="s">
        <v>263</v>
      </c>
      <c r="BA360" t="s">
        <v>286</v>
      </c>
      <c r="BB360">
        <v>1.393263889</v>
      </c>
    </row>
    <row r="361" spans="8:54" ht="12.75">
      <c r="H361" s="232">
        <v>338</v>
      </c>
      <c r="I361" s="232" t="s">
        <v>55</v>
      </c>
      <c r="J361" s="232" t="s">
        <v>286</v>
      </c>
      <c r="K361" s="232"/>
      <c r="L361" s="232">
        <v>125</v>
      </c>
      <c r="M361" s="232">
        <v>0.5</v>
      </c>
      <c r="N361" s="232"/>
      <c r="O361" s="232">
        <v>1.393263889</v>
      </c>
      <c r="P361" s="429"/>
      <c r="Q361" s="429">
        <v>0</v>
      </c>
      <c r="R361" s="429">
        <v>7424.88622034942</v>
      </c>
      <c r="S361" s="429">
        <v>0</v>
      </c>
      <c r="T361" s="429">
        <v>0.46</v>
      </c>
      <c r="U361" s="429">
        <v>0.3055508732654082</v>
      </c>
      <c r="V361" s="429">
        <v>0.008</v>
      </c>
      <c r="AA361" t="s">
        <v>250</v>
      </c>
      <c r="BA361" t="s">
        <v>286</v>
      </c>
      <c r="BB361">
        <v>1.393263889</v>
      </c>
    </row>
    <row r="362" spans="8:54" ht="12.75">
      <c r="H362" s="232">
        <v>343</v>
      </c>
      <c r="I362" s="232" t="s">
        <v>56</v>
      </c>
      <c r="J362" s="232" t="s">
        <v>286</v>
      </c>
      <c r="K362" s="232"/>
      <c r="L362" s="232">
        <v>125</v>
      </c>
      <c r="M362" s="232">
        <v>0.5</v>
      </c>
      <c r="N362" s="232"/>
      <c r="O362" s="232">
        <v>1.393263889</v>
      </c>
      <c r="P362" s="429"/>
      <c r="Q362" s="429">
        <v>0</v>
      </c>
      <c r="R362" s="429">
        <v>7422.236467072242</v>
      </c>
      <c r="S362" s="429">
        <v>0</v>
      </c>
      <c r="T362" s="429">
        <v>0.46</v>
      </c>
      <c r="U362" s="429">
        <v>0.3054418299206684</v>
      </c>
      <c r="V362" s="429">
        <v>0.008</v>
      </c>
      <c r="AA362" t="s">
        <v>52</v>
      </c>
      <c r="BA362" t="s">
        <v>286</v>
      </c>
      <c r="BB362">
        <v>1.393263889</v>
      </c>
    </row>
    <row r="363" spans="8:54" ht="12.75">
      <c r="H363" s="232">
        <v>355</v>
      </c>
      <c r="I363" s="232" t="s">
        <v>55</v>
      </c>
      <c r="J363" s="232" t="s">
        <v>286</v>
      </c>
      <c r="K363" s="232"/>
      <c r="L363" s="232">
        <v>125</v>
      </c>
      <c r="M363" s="232">
        <v>0.5</v>
      </c>
      <c r="N363" s="232"/>
      <c r="O363" s="232">
        <v>1.393263889</v>
      </c>
      <c r="P363" s="429"/>
      <c r="Q363" s="429">
        <v>0</v>
      </c>
      <c r="R363" s="429">
        <v>7415.880916733392</v>
      </c>
      <c r="S363" s="429">
        <v>0</v>
      </c>
      <c r="T363" s="429">
        <v>0.46</v>
      </c>
      <c r="U363" s="429">
        <v>0.30518028463923424</v>
      </c>
      <c r="V363" s="429">
        <v>0.008</v>
      </c>
      <c r="AA363" t="s">
        <v>267</v>
      </c>
      <c r="BA363" t="s">
        <v>286</v>
      </c>
      <c r="BB363">
        <v>1.393263889</v>
      </c>
    </row>
    <row r="364" spans="8:54" ht="12.75">
      <c r="H364" s="232">
        <v>358</v>
      </c>
      <c r="I364" s="232" t="s">
        <v>56</v>
      </c>
      <c r="J364" s="232" t="s">
        <v>286</v>
      </c>
      <c r="K364" s="232"/>
      <c r="L364" s="232">
        <v>125</v>
      </c>
      <c r="M364" s="232">
        <v>0.5</v>
      </c>
      <c r="N364" s="232"/>
      <c r="O364" s="232">
        <v>1.393263889</v>
      </c>
      <c r="P364" s="429"/>
      <c r="Q364" s="429">
        <v>0</v>
      </c>
      <c r="R364" s="429">
        <v>7414.2928796687365</v>
      </c>
      <c r="S364" s="429">
        <v>0</v>
      </c>
      <c r="T364" s="429">
        <v>0.46</v>
      </c>
      <c r="U364" s="429">
        <v>0.3051149333197011</v>
      </c>
      <c r="V364" s="429">
        <v>0.008</v>
      </c>
      <c r="AA364" t="s">
        <v>265</v>
      </c>
      <c r="BA364" t="s">
        <v>286</v>
      </c>
      <c r="BB364">
        <v>1.393263889</v>
      </c>
    </row>
    <row r="365" spans="8:54" ht="12.75">
      <c r="H365" s="232">
        <v>371</v>
      </c>
      <c r="I365" s="232" t="s">
        <v>55</v>
      </c>
      <c r="J365" s="232" t="s">
        <v>286</v>
      </c>
      <c r="K365" s="232"/>
      <c r="L365" s="232">
        <v>125</v>
      </c>
      <c r="M365" s="232">
        <v>0.5</v>
      </c>
      <c r="N365" s="232"/>
      <c r="O365" s="232">
        <v>1.393263889</v>
      </c>
      <c r="P365" s="429"/>
      <c r="Q365" s="429">
        <v>0</v>
      </c>
      <c r="R365" s="429">
        <v>7424.88622034942</v>
      </c>
      <c r="S365" s="429">
        <v>0</v>
      </c>
      <c r="T365" s="429">
        <v>0.46</v>
      </c>
      <c r="U365" s="429">
        <v>0.3055508732654082</v>
      </c>
      <c r="V365" s="429">
        <v>0.008</v>
      </c>
      <c r="AA365" t="s">
        <v>46</v>
      </c>
      <c r="BA365" t="s">
        <v>286</v>
      </c>
      <c r="BB365">
        <v>1.393263889</v>
      </c>
    </row>
    <row r="366" spans="8:54" ht="12.75">
      <c r="H366" s="232">
        <v>376</v>
      </c>
      <c r="I366" s="232" t="s">
        <v>56</v>
      </c>
      <c r="J366" s="232" t="s">
        <v>286</v>
      </c>
      <c r="K366" s="232"/>
      <c r="L366" s="232">
        <v>125</v>
      </c>
      <c r="M366" s="232">
        <v>0.5</v>
      </c>
      <c r="N366" s="232"/>
      <c r="O366" s="232">
        <v>1.393263889</v>
      </c>
      <c r="P366" s="429"/>
      <c r="Q366" s="429">
        <v>0</v>
      </c>
      <c r="R366" s="429">
        <v>7422.236467072242</v>
      </c>
      <c r="S366" s="429">
        <v>0</v>
      </c>
      <c r="T366" s="429">
        <v>0.46</v>
      </c>
      <c r="U366" s="429">
        <v>0.3054418299206684</v>
      </c>
      <c r="V366" s="429">
        <v>0.008</v>
      </c>
      <c r="AA366" t="s">
        <v>284</v>
      </c>
      <c r="BA366" t="s">
        <v>286</v>
      </c>
      <c r="BB366">
        <v>1.393263889</v>
      </c>
    </row>
    <row r="367" spans="8:54" ht="12.75">
      <c r="H367" s="232">
        <v>388</v>
      </c>
      <c r="I367" s="232" t="s">
        <v>55</v>
      </c>
      <c r="J367" s="232" t="s">
        <v>286</v>
      </c>
      <c r="K367" s="232"/>
      <c r="L367" s="232">
        <v>125</v>
      </c>
      <c r="M367" s="232">
        <v>0.5</v>
      </c>
      <c r="N367" s="232"/>
      <c r="O367" s="232">
        <v>1.393263889</v>
      </c>
      <c r="P367" s="429"/>
      <c r="Q367" s="429">
        <v>0</v>
      </c>
      <c r="R367" s="429">
        <v>7415.880916733392</v>
      </c>
      <c r="S367" s="429">
        <v>0</v>
      </c>
      <c r="T367" s="429">
        <v>0.46</v>
      </c>
      <c r="U367" s="429">
        <v>0.30518028463923424</v>
      </c>
      <c r="V367" s="429">
        <v>0.008</v>
      </c>
      <c r="AA367" t="s">
        <v>268</v>
      </c>
      <c r="BA367" t="s">
        <v>286</v>
      </c>
      <c r="BB367">
        <v>1.393263889</v>
      </c>
    </row>
    <row r="368" spans="8:54" ht="12.75">
      <c r="H368" s="232">
        <v>391</v>
      </c>
      <c r="I368" s="232" t="s">
        <v>56</v>
      </c>
      <c r="J368" s="232" t="s">
        <v>286</v>
      </c>
      <c r="K368" s="232"/>
      <c r="L368" s="232">
        <v>125</v>
      </c>
      <c r="M368" s="232">
        <v>0.5</v>
      </c>
      <c r="N368" s="232"/>
      <c r="O368" s="232">
        <v>1.393263889</v>
      </c>
      <c r="P368" s="429"/>
      <c r="Q368" s="429">
        <v>0</v>
      </c>
      <c r="R368" s="429">
        <v>7414.2928796687365</v>
      </c>
      <c r="S368" s="429">
        <v>0</v>
      </c>
      <c r="T368" s="429">
        <v>0.46</v>
      </c>
      <c r="U368" s="429">
        <v>0.3051149333197011</v>
      </c>
      <c r="V368" s="429">
        <v>0.008</v>
      </c>
      <c r="AA368" t="s">
        <v>23</v>
      </c>
      <c r="BA368" t="s">
        <v>286</v>
      </c>
      <c r="BB368">
        <v>1.393263889</v>
      </c>
    </row>
    <row r="369" spans="8:54" ht="12.75">
      <c r="H369" s="232">
        <v>1</v>
      </c>
      <c r="I369" s="232" t="s">
        <v>57</v>
      </c>
      <c r="J369" s="232" t="str">
        <f>+'Input Data'!I51</f>
        <v>Wet_Bench(I)</v>
      </c>
      <c r="K369" s="232"/>
      <c r="L369" s="232">
        <v>125</v>
      </c>
      <c r="M369" s="414">
        <v>0.5</v>
      </c>
      <c r="N369" s="423"/>
      <c r="O369" s="232">
        <v>1.393263889</v>
      </c>
      <c r="P369" s="426"/>
      <c r="Q369" s="74">
        <f aca="true" t="shared" si="36" ref="Q369:Q374">+WS*LY^(($H369-1)/$B$24)*P369</f>
        <v>0</v>
      </c>
      <c r="R369" s="74">
        <f aca="true" t="shared" si="37" ref="R369:S374">+WS*LY^(($H369-1)/$B$24)*M369</f>
        <v>12500</v>
      </c>
      <c r="S369" s="74">
        <f t="shared" si="37"/>
        <v>0</v>
      </c>
      <c r="T369" s="70">
        <f>+'Input Data'!$J$51</f>
        <v>0.45999999999999996</v>
      </c>
      <c r="U369" s="74">
        <f aca="true" t="shared" si="38" ref="U369:U374">+WS*(LY^((+H369-1)/$B$24))*(1/L369)/(1-T369)/720</f>
        <v>0.51440329218107</v>
      </c>
      <c r="V369" s="74">
        <f aca="true" t="shared" si="39" ref="V369:V378">1/L369</f>
        <v>0.008</v>
      </c>
      <c r="BA369" t="s">
        <v>285</v>
      </c>
      <c r="BB369">
        <v>1.393263889</v>
      </c>
    </row>
    <row r="370" spans="8:54" ht="12.75">
      <c r="H370" s="232">
        <v>12</v>
      </c>
      <c r="I370" s="232" t="s">
        <v>55</v>
      </c>
      <c r="J370" s="232" t="str">
        <f>+'Input Data'!I51</f>
        <v>Wet_Bench(I)</v>
      </c>
      <c r="K370" s="232"/>
      <c r="L370" s="232">
        <v>125</v>
      </c>
      <c r="M370" s="414">
        <v>0.5</v>
      </c>
      <c r="N370" s="423"/>
      <c r="O370" s="232">
        <v>1.393263889</v>
      </c>
      <c r="P370" s="426"/>
      <c r="Q370" s="74">
        <f t="shared" si="36"/>
        <v>0</v>
      </c>
      <c r="R370" s="74">
        <f t="shared" si="37"/>
        <v>12492.897485968455</v>
      </c>
      <c r="S370" s="74">
        <f t="shared" si="37"/>
        <v>0</v>
      </c>
      <c r="T370" s="70">
        <f>+'Input Data'!$J$50</f>
        <v>0.45999999999999996</v>
      </c>
      <c r="U370" s="74">
        <f t="shared" si="38"/>
        <v>0.5141110076530229</v>
      </c>
      <c r="V370" s="74">
        <f t="shared" si="39"/>
        <v>0.008</v>
      </c>
      <c r="BA370" t="s">
        <v>285</v>
      </c>
      <c r="BB370">
        <v>1.393263889</v>
      </c>
    </row>
    <row r="371" spans="8:54" ht="12.75">
      <c r="H371" s="232">
        <v>15</v>
      </c>
      <c r="I371" s="232" t="s">
        <v>57</v>
      </c>
      <c r="J371" s="232" t="str">
        <f>+'Input Data'!I51</f>
        <v>Wet_Bench(I)</v>
      </c>
      <c r="K371" s="232"/>
      <c r="L371" s="232">
        <v>125</v>
      </c>
      <c r="M371" s="414">
        <v>0.5</v>
      </c>
      <c r="N371" s="423"/>
      <c r="O371" s="232">
        <v>1.393263889</v>
      </c>
      <c r="P371" s="426"/>
      <c r="Q371" s="74">
        <f t="shared" si="36"/>
        <v>0</v>
      </c>
      <c r="R371" s="74">
        <f t="shared" si="37"/>
        <v>12490.961137186812</v>
      </c>
      <c r="S371" s="74">
        <f t="shared" si="37"/>
        <v>0</v>
      </c>
      <c r="T371" s="70">
        <f>+'Input Data'!$J$50</f>
        <v>0.45999999999999996</v>
      </c>
      <c r="U371" s="74">
        <f t="shared" si="38"/>
        <v>0.5140313225179758</v>
      </c>
      <c r="V371" s="74">
        <f t="shared" si="39"/>
        <v>0.008</v>
      </c>
      <c r="AA371" t="s">
        <v>256</v>
      </c>
      <c r="BA371" t="s">
        <v>285</v>
      </c>
      <c r="BB371">
        <v>1.393263889</v>
      </c>
    </row>
    <row r="372" spans="8:54" ht="12.75">
      <c r="H372" s="232">
        <v>22</v>
      </c>
      <c r="I372" s="232" t="s">
        <v>58</v>
      </c>
      <c r="J372" s="232" t="str">
        <f>+'Input Data'!I51</f>
        <v>Wet_Bench(I)</v>
      </c>
      <c r="K372" s="232"/>
      <c r="L372" s="232">
        <v>125</v>
      </c>
      <c r="M372" s="414">
        <v>0.5</v>
      </c>
      <c r="N372" s="423"/>
      <c r="O372" s="232">
        <v>1.393263889</v>
      </c>
      <c r="P372" s="426"/>
      <c r="Q372" s="74">
        <f t="shared" si="36"/>
        <v>0</v>
      </c>
      <c r="R372" s="74">
        <f t="shared" si="37"/>
        <v>12486.44415710692</v>
      </c>
      <c r="S372" s="74">
        <f t="shared" si="37"/>
        <v>0</v>
      </c>
      <c r="T372" s="70">
        <f>+'Input Data'!$J$50</f>
        <v>0.45999999999999996</v>
      </c>
      <c r="U372" s="74">
        <f t="shared" si="38"/>
        <v>0.5138454385640707</v>
      </c>
      <c r="V372" s="74">
        <f t="shared" si="39"/>
        <v>0.008</v>
      </c>
      <c r="BA372" t="s">
        <v>285</v>
      </c>
      <c r="BB372">
        <v>1.393263889</v>
      </c>
    </row>
    <row r="373" spans="8:54" ht="12.75">
      <c r="H373" s="232">
        <v>24</v>
      </c>
      <c r="I373" s="232" t="s">
        <v>57</v>
      </c>
      <c r="J373" s="232" t="str">
        <f>+'Input Data'!I51</f>
        <v>Wet_Bench(I)</v>
      </c>
      <c r="K373" s="232"/>
      <c r="L373" s="232">
        <v>125</v>
      </c>
      <c r="M373" s="414">
        <v>0.5</v>
      </c>
      <c r="N373" s="423"/>
      <c r="O373" s="232">
        <v>1.393263889</v>
      </c>
      <c r="P373" s="426"/>
      <c r="Q373" s="74">
        <f t="shared" si="36"/>
        <v>0</v>
      </c>
      <c r="R373" s="74">
        <f t="shared" si="37"/>
        <v>12485.153891413376</v>
      </c>
      <c r="S373" s="74">
        <f t="shared" si="37"/>
        <v>0</v>
      </c>
      <c r="T373" s="70">
        <f>+'Input Data'!$J$50</f>
        <v>0.45999999999999996</v>
      </c>
      <c r="U373" s="74">
        <f t="shared" si="38"/>
        <v>0.5137923412104269</v>
      </c>
      <c r="V373" s="74">
        <f t="shared" si="39"/>
        <v>0.008</v>
      </c>
      <c r="BA373" t="s">
        <v>285</v>
      </c>
      <c r="BB373">
        <v>1.393263889</v>
      </c>
    </row>
    <row r="374" spans="8:54" ht="12.75">
      <c r="H374" s="232">
        <v>35</v>
      </c>
      <c r="I374" s="232" t="s">
        <v>55</v>
      </c>
      <c r="J374" s="232" t="str">
        <f>+'Input Data'!I51</f>
        <v>Wet_Bench(I)</v>
      </c>
      <c r="K374" s="232"/>
      <c r="L374" s="232">
        <v>125</v>
      </c>
      <c r="M374" s="414">
        <v>0.5</v>
      </c>
      <c r="N374" s="423"/>
      <c r="O374" s="232">
        <v>1.393263889</v>
      </c>
      <c r="P374" s="426"/>
      <c r="Q374" s="74">
        <f t="shared" si="36"/>
        <v>0</v>
      </c>
      <c r="R374" s="74">
        <f t="shared" si="37"/>
        <v>12478.059812957395</v>
      </c>
      <c r="S374" s="74">
        <f t="shared" si="37"/>
        <v>0</v>
      </c>
      <c r="T374" s="70">
        <f>+'Input Data'!$J$50</f>
        <v>0.45999999999999996</v>
      </c>
      <c r="U374" s="74">
        <f t="shared" si="38"/>
        <v>0.5135004038254072</v>
      </c>
      <c r="V374" s="74">
        <f t="shared" si="39"/>
        <v>0.008</v>
      </c>
      <c r="AA374" t="s">
        <v>23</v>
      </c>
      <c r="BA374" t="s">
        <v>285</v>
      </c>
      <c r="BB374">
        <v>1.393263889</v>
      </c>
    </row>
    <row r="375" spans="8:54" ht="12.75">
      <c r="H375" s="232">
        <v>48</v>
      </c>
      <c r="I375" s="232" t="s">
        <v>55</v>
      </c>
      <c r="J375" s="232" t="str">
        <f>+'Input Data'!I51</f>
        <v>Wet_Bench(I)</v>
      </c>
      <c r="K375" s="232"/>
      <c r="L375" s="232">
        <v>125</v>
      </c>
      <c r="M375" s="414">
        <v>0.5</v>
      </c>
      <c r="N375" s="423"/>
      <c r="O375" s="232">
        <v>1.393263889</v>
      </c>
      <c r="P375" s="426"/>
      <c r="Q375" s="74">
        <f>+WS*LY^(($H420-1)/$B$24)*P375</f>
        <v>0</v>
      </c>
      <c r="R375" s="74">
        <f aca="true" t="shared" si="40" ref="R375:S378">+WS*LY^(($H420-1)/$B$24)*M375</f>
        <v>12500.645883288256</v>
      </c>
      <c r="S375" s="74">
        <f t="shared" si="40"/>
        <v>0</v>
      </c>
      <c r="T375" s="70">
        <f>+'Input Data'!$J$50</f>
        <v>0.45999999999999996</v>
      </c>
      <c r="U375" s="74">
        <f>+WS*(LY^((+H420-1)/$B$24))*(1/L375)/(1-T375)/720</f>
        <v>0.5144298717402574</v>
      </c>
      <c r="V375" s="74">
        <f t="shared" si="39"/>
        <v>0.008</v>
      </c>
      <c r="BA375" t="s">
        <v>285</v>
      </c>
      <c r="BB375">
        <v>1.393263889</v>
      </c>
    </row>
    <row r="376" spans="8:54" ht="12.75">
      <c r="H376" s="232">
        <v>51</v>
      </c>
      <c r="I376" s="232" t="s">
        <v>57</v>
      </c>
      <c r="J376" s="232" t="str">
        <f>+'Input Data'!I51</f>
        <v>Wet_Bench(I)</v>
      </c>
      <c r="K376" s="232"/>
      <c r="L376" s="232">
        <v>125</v>
      </c>
      <c r="M376" s="414">
        <v>0.5</v>
      </c>
      <c r="N376" s="423"/>
      <c r="O376" s="232">
        <v>1.393263889</v>
      </c>
      <c r="P376" s="426"/>
      <c r="Q376" s="74">
        <f>+WS*LY^(($H421-1)/$B$24)*P376</f>
        <v>0</v>
      </c>
      <c r="R376" s="74">
        <f t="shared" si="40"/>
        <v>12500.645883288256</v>
      </c>
      <c r="S376" s="74">
        <f t="shared" si="40"/>
        <v>0</v>
      </c>
      <c r="T376" s="70">
        <f>+'Input Data'!$J$50</f>
        <v>0.45999999999999996</v>
      </c>
      <c r="U376" s="74">
        <f>+WS*(LY^((+H421-1)/$B$24))*(1/L376)/(1-T376)/720</f>
        <v>0.5144298717402574</v>
      </c>
      <c r="V376" s="74">
        <f t="shared" si="39"/>
        <v>0.008</v>
      </c>
      <c r="BA376" t="s">
        <v>285</v>
      </c>
      <c r="BB376">
        <v>1.393263889</v>
      </c>
    </row>
    <row r="377" spans="8:54" ht="12.75">
      <c r="H377" s="232">
        <v>56</v>
      </c>
      <c r="I377" s="232" t="s">
        <v>57</v>
      </c>
      <c r="J377" s="232" t="str">
        <f>+'Input Data'!I51</f>
        <v>Wet_Bench(I)</v>
      </c>
      <c r="K377" s="232"/>
      <c r="L377" s="232">
        <v>125</v>
      </c>
      <c r="M377" s="414">
        <v>0.5</v>
      </c>
      <c r="N377" s="423"/>
      <c r="O377" s="232">
        <v>1.393263889</v>
      </c>
      <c r="P377" s="426"/>
      <c r="Q377" s="74">
        <f>+WS*LY^(($H422-1)/$B$24)*P377</f>
        <v>0</v>
      </c>
      <c r="R377" s="74">
        <f t="shared" si="40"/>
        <v>12500.645883288256</v>
      </c>
      <c r="S377" s="74">
        <f t="shared" si="40"/>
        <v>0</v>
      </c>
      <c r="T377" s="70">
        <f>+'Input Data'!$J$50</f>
        <v>0.45999999999999996</v>
      </c>
      <c r="U377" s="74">
        <f>+WS*(LY^((+H422-1)/$B$24))*(1/L377)/(1-T377)/720</f>
        <v>0.5144298717402574</v>
      </c>
      <c r="V377" s="74">
        <f t="shared" si="39"/>
        <v>0.008</v>
      </c>
      <c r="BA377" t="s">
        <v>285</v>
      </c>
      <c r="BB377">
        <v>1.393263889</v>
      </c>
    </row>
    <row r="378" spans="8:54" ht="12.75">
      <c r="H378" s="232">
        <v>61</v>
      </c>
      <c r="I378" s="232" t="s">
        <v>55</v>
      </c>
      <c r="J378" s="232" t="str">
        <f>+'Input Data'!I51</f>
        <v>Wet_Bench(I)</v>
      </c>
      <c r="K378" s="232"/>
      <c r="L378" s="232">
        <v>125</v>
      </c>
      <c r="M378" s="414">
        <v>0.5</v>
      </c>
      <c r="N378" s="423"/>
      <c r="O378" s="232">
        <v>1.393263889</v>
      </c>
      <c r="P378" s="426"/>
      <c r="Q378" s="74">
        <f>+WS*LY^(($H423-1)/$B$24)*P378</f>
        <v>0</v>
      </c>
      <c r="R378" s="74">
        <f t="shared" si="40"/>
        <v>12500.645883288256</v>
      </c>
      <c r="S378" s="74">
        <f t="shared" si="40"/>
        <v>0</v>
      </c>
      <c r="T378" s="70">
        <f>+'Input Data'!$J$50</f>
        <v>0.45999999999999996</v>
      </c>
      <c r="U378" s="74">
        <f>+WS*(LY^((+H423-1)/$B$24))*(1/L378)/(1-T378)/720</f>
        <v>0.5144298717402574</v>
      </c>
      <c r="V378" s="74">
        <f t="shared" si="39"/>
        <v>0.008</v>
      </c>
      <c r="BA378" t="s">
        <v>285</v>
      </c>
      <c r="BB378">
        <v>1.393263889</v>
      </c>
    </row>
    <row r="379" spans="8:54" ht="12.75">
      <c r="H379" s="232">
        <v>136</v>
      </c>
      <c r="I379" s="232" t="s">
        <v>55</v>
      </c>
      <c r="J379" s="232" t="s">
        <v>285</v>
      </c>
      <c r="K379" s="232"/>
      <c r="L379" s="232">
        <v>125</v>
      </c>
      <c r="M379" s="232">
        <v>0.5</v>
      </c>
      <c r="N379" s="232"/>
      <c r="O379" s="232">
        <v>1.393263889</v>
      </c>
      <c r="P379" s="429"/>
      <c r="Q379" s="429">
        <v>0</v>
      </c>
      <c r="R379" s="429">
        <v>7481.818221271113</v>
      </c>
      <c r="S379" s="429">
        <v>0</v>
      </c>
      <c r="T379" s="429">
        <v>0.46</v>
      </c>
      <c r="U379" s="429">
        <v>0.30789375396177415</v>
      </c>
      <c r="V379" s="429">
        <v>0.008</v>
      </c>
      <c r="AA379" t="s">
        <v>271</v>
      </c>
      <c r="BA379" t="s">
        <v>285</v>
      </c>
      <c r="BB379">
        <v>1.393263889</v>
      </c>
    </row>
    <row r="380" spans="8:54" ht="12.75">
      <c r="H380" s="232">
        <v>145</v>
      </c>
      <c r="I380" s="232" t="s">
        <v>55</v>
      </c>
      <c r="J380" s="232" t="s">
        <v>285</v>
      </c>
      <c r="K380" s="232"/>
      <c r="L380" s="232">
        <v>125</v>
      </c>
      <c r="M380" s="232">
        <v>0.5</v>
      </c>
      <c r="N380" s="232"/>
      <c r="O380" s="232">
        <v>1.393263889</v>
      </c>
      <c r="P380" s="429"/>
      <c r="Q380" s="429">
        <v>0</v>
      </c>
      <c r="R380" s="429">
        <v>7481.818221271113</v>
      </c>
      <c r="S380" s="429">
        <v>0</v>
      </c>
      <c r="T380" s="429">
        <v>0.46</v>
      </c>
      <c r="U380" s="429">
        <v>0.30789375396177415</v>
      </c>
      <c r="V380" s="429">
        <v>0.008</v>
      </c>
      <c r="AA380" t="s">
        <v>285</v>
      </c>
      <c r="BA380" t="s">
        <v>285</v>
      </c>
      <c r="BB380">
        <v>1.393263889</v>
      </c>
    </row>
    <row r="381" spans="8:54" ht="12.75">
      <c r="H381" s="232">
        <v>154</v>
      </c>
      <c r="I381" s="232" t="s">
        <v>55</v>
      </c>
      <c r="J381" s="232" t="s">
        <v>285</v>
      </c>
      <c r="K381" s="232"/>
      <c r="L381" s="232">
        <v>125</v>
      </c>
      <c r="M381" s="232">
        <v>0.5</v>
      </c>
      <c r="N381" s="232"/>
      <c r="O381" s="232">
        <v>1.393263889</v>
      </c>
      <c r="P381" s="429"/>
      <c r="Q381" s="429">
        <v>0</v>
      </c>
      <c r="R381" s="429">
        <v>7481.818221271113</v>
      </c>
      <c r="S381" s="429">
        <v>0</v>
      </c>
      <c r="T381" s="429">
        <v>0.46</v>
      </c>
      <c r="U381" s="429">
        <v>0.30789375396177415</v>
      </c>
      <c r="V381" s="429">
        <v>0.008</v>
      </c>
      <c r="BA381" t="s">
        <v>285</v>
      </c>
      <c r="BB381">
        <v>1.393263889</v>
      </c>
    </row>
    <row r="382" spans="8:54" ht="12.75">
      <c r="H382" s="232">
        <v>163</v>
      </c>
      <c r="I382" s="232" t="s">
        <v>55</v>
      </c>
      <c r="J382" s="232" t="s">
        <v>285</v>
      </c>
      <c r="K382" s="232"/>
      <c r="L382" s="232">
        <v>125</v>
      </c>
      <c r="M382" s="232">
        <v>0.5</v>
      </c>
      <c r="N382" s="232"/>
      <c r="O382" s="232">
        <v>1.393263889</v>
      </c>
      <c r="P382" s="429"/>
      <c r="Q382" s="429">
        <v>0</v>
      </c>
      <c r="R382" s="429">
        <v>7481.818221271113</v>
      </c>
      <c r="S382" s="429">
        <v>0</v>
      </c>
      <c r="T382" s="429">
        <v>0.46</v>
      </c>
      <c r="U382" s="429">
        <v>0.30789375396177415</v>
      </c>
      <c r="V382" s="429">
        <v>0.008</v>
      </c>
      <c r="AA382" t="s">
        <v>264</v>
      </c>
      <c r="BA382" t="s">
        <v>285</v>
      </c>
      <c r="BB382">
        <v>1.393263889</v>
      </c>
    </row>
    <row r="383" spans="8:54" ht="12.75">
      <c r="H383" s="232">
        <v>172</v>
      </c>
      <c r="I383" s="232" t="s">
        <v>55</v>
      </c>
      <c r="J383" s="232" t="s">
        <v>285</v>
      </c>
      <c r="K383" s="232"/>
      <c r="L383" s="232">
        <v>125</v>
      </c>
      <c r="M383" s="232">
        <v>0.5</v>
      </c>
      <c r="N383" s="232"/>
      <c r="O383" s="232">
        <v>1.393263889</v>
      </c>
      <c r="P383" s="429"/>
      <c r="Q383" s="429">
        <v>0</v>
      </c>
      <c r="R383" s="429">
        <v>7481.818221271113</v>
      </c>
      <c r="S383" s="429">
        <v>0</v>
      </c>
      <c r="T383" s="429">
        <v>0.46</v>
      </c>
      <c r="U383" s="429">
        <v>0.30789375396177415</v>
      </c>
      <c r="V383" s="429">
        <v>0.008</v>
      </c>
      <c r="AA383" t="s">
        <v>254</v>
      </c>
      <c r="BA383" t="s">
        <v>285</v>
      </c>
      <c r="BB383">
        <v>1.393263889</v>
      </c>
    </row>
    <row r="384" spans="8:54" ht="12.75">
      <c r="H384" s="232">
        <v>181</v>
      </c>
      <c r="I384" s="232" t="s">
        <v>55</v>
      </c>
      <c r="J384" s="232" t="s">
        <v>285</v>
      </c>
      <c r="K384" s="232"/>
      <c r="L384" s="232">
        <v>125</v>
      </c>
      <c r="M384" s="232">
        <v>0.5</v>
      </c>
      <c r="N384" s="232"/>
      <c r="O384" s="232">
        <v>1.393263889</v>
      </c>
      <c r="P384" s="429"/>
      <c r="Q384" s="429">
        <v>0</v>
      </c>
      <c r="R384" s="429">
        <v>7481.818221271113</v>
      </c>
      <c r="S384" s="429">
        <v>0</v>
      </c>
      <c r="T384" s="429">
        <v>0.46</v>
      </c>
      <c r="U384" s="429">
        <v>0.30789375396177415</v>
      </c>
      <c r="V384" s="429">
        <v>0.008</v>
      </c>
      <c r="AA384" t="s">
        <v>271</v>
      </c>
      <c r="BA384" t="s">
        <v>285</v>
      </c>
      <c r="BB384">
        <v>1.393263889</v>
      </c>
    </row>
    <row r="385" spans="8:54" ht="12.75">
      <c r="H385" s="232">
        <v>190</v>
      </c>
      <c r="I385" s="232" t="s">
        <v>55</v>
      </c>
      <c r="J385" s="232" t="s">
        <v>285</v>
      </c>
      <c r="K385" s="232"/>
      <c r="L385" s="232">
        <v>125</v>
      </c>
      <c r="M385" s="232">
        <v>0.5</v>
      </c>
      <c r="N385" s="232"/>
      <c r="O385" s="232">
        <v>1.393263889</v>
      </c>
      <c r="P385" s="429"/>
      <c r="Q385" s="429">
        <v>0</v>
      </c>
      <c r="R385" s="429">
        <v>7481.818221271113</v>
      </c>
      <c r="S385" s="429">
        <v>0</v>
      </c>
      <c r="T385" s="429">
        <v>0.46</v>
      </c>
      <c r="U385" s="429">
        <v>0.30789375396177415</v>
      </c>
      <c r="V385" s="429">
        <v>0.008</v>
      </c>
      <c r="AA385" t="s">
        <v>271</v>
      </c>
      <c r="BA385" t="s">
        <v>285</v>
      </c>
      <c r="BB385">
        <v>1.393263889</v>
      </c>
    </row>
    <row r="386" spans="8:54" ht="12.75">
      <c r="H386" s="232">
        <v>199</v>
      </c>
      <c r="I386" s="232" t="s">
        <v>55</v>
      </c>
      <c r="J386" s="232" t="s">
        <v>285</v>
      </c>
      <c r="K386" s="232"/>
      <c r="L386" s="232">
        <v>125</v>
      </c>
      <c r="M386" s="232">
        <v>0.5</v>
      </c>
      <c r="N386" s="232"/>
      <c r="O386" s="232">
        <v>1.393263889</v>
      </c>
      <c r="P386" s="429"/>
      <c r="Q386" s="429">
        <v>0</v>
      </c>
      <c r="R386" s="429">
        <v>7481.818221271113</v>
      </c>
      <c r="S386" s="429">
        <v>0</v>
      </c>
      <c r="T386" s="429">
        <v>0.46</v>
      </c>
      <c r="U386" s="429">
        <v>0.30789375396177415</v>
      </c>
      <c r="V386" s="429">
        <v>0.008</v>
      </c>
      <c r="AA386" t="s">
        <v>282</v>
      </c>
      <c r="BA386" t="s">
        <v>285</v>
      </c>
      <c r="BB386">
        <v>1.393263889</v>
      </c>
    </row>
    <row r="387" spans="8:54" ht="12.75">
      <c r="H387" s="232">
        <v>208</v>
      </c>
      <c r="I387" s="232" t="s">
        <v>55</v>
      </c>
      <c r="J387" s="232" t="s">
        <v>285</v>
      </c>
      <c r="K387" s="232"/>
      <c r="L387" s="232">
        <v>125</v>
      </c>
      <c r="M387" s="232">
        <v>0.5</v>
      </c>
      <c r="N387" s="232"/>
      <c r="O387" s="232">
        <v>1.393263889</v>
      </c>
      <c r="P387" s="429"/>
      <c r="Q387" s="429">
        <v>0</v>
      </c>
      <c r="R387" s="429">
        <v>7481.818221271113</v>
      </c>
      <c r="S387" s="429">
        <v>0</v>
      </c>
      <c r="T387" s="429">
        <v>0.46</v>
      </c>
      <c r="U387" s="429">
        <v>0.30789375396177415</v>
      </c>
      <c r="V387" s="429">
        <v>0.008</v>
      </c>
      <c r="AA387" t="s">
        <v>264</v>
      </c>
      <c r="BA387" t="s">
        <v>285</v>
      </c>
      <c r="BB387">
        <v>1.393263889</v>
      </c>
    </row>
    <row r="388" spans="8:54" ht="12.75">
      <c r="H388" s="232">
        <v>217</v>
      </c>
      <c r="I388" s="232" t="s">
        <v>55</v>
      </c>
      <c r="J388" s="232" t="s">
        <v>285</v>
      </c>
      <c r="K388" s="232"/>
      <c r="L388" s="232">
        <v>125</v>
      </c>
      <c r="M388" s="232">
        <v>0.5</v>
      </c>
      <c r="N388" s="232"/>
      <c r="O388" s="232">
        <v>1.393263889</v>
      </c>
      <c r="P388" s="429"/>
      <c r="Q388" s="429">
        <v>0</v>
      </c>
      <c r="R388" s="429">
        <v>7481.818221271113</v>
      </c>
      <c r="S388" s="429">
        <v>0</v>
      </c>
      <c r="T388" s="429">
        <v>0.46</v>
      </c>
      <c r="U388" s="429">
        <v>0.30789375396177415</v>
      </c>
      <c r="V388" s="429">
        <v>0.008</v>
      </c>
      <c r="AA388" t="s">
        <v>256</v>
      </c>
      <c r="BA388" t="s">
        <v>285</v>
      </c>
      <c r="BB388">
        <v>1.393263889</v>
      </c>
    </row>
    <row r="389" spans="8:54" ht="12.75">
      <c r="H389" s="232">
        <v>226</v>
      </c>
      <c r="I389" s="232" t="s">
        <v>55</v>
      </c>
      <c r="J389" s="232" t="s">
        <v>285</v>
      </c>
      <c r="K389" s="232"/>
      <c r="L389" s="232">
        <v>125</v>
      </c>
      <c r="M389" s="232">
        <v>0.5</v>
      </c>
      <c r="N389" s="232"/>
      <c r="O389" s="232">
        <v>1.393263889</v>
      </c>
      <c r="P389" s="429"/>
      <c r="Q389" s="429">
        <v>0</v>
      </c>
      <c r="R389" s="429">
        <v>7481.818221271113</v>
      </c>
      <c r="S389" s="429">
        <v>0</v>
      </c>
      <c r="T389" s="429">
        <v>0.46</v>
      </c>
      <c r="U389" s="429">
        <v>0.30789375396177415</v>
      </c>
      <c r="V389" s="429">
        <v>0.008</v>
      </c>
      <c r="AA389" t="s">
        <v>264</v>
      </c>
      <c r="BA389" t="s">
        <v>285</v>
      </c>
      <c r="BB389">
        <v>1.393263889</v>
      </c>
    </row>
    <row r="390" spans="8:54" ht="12.75">
      <c r="H390" s="232">
        <v>235</v>
      </c>
      <c r="I390" s="232" t="s">
        <v>55</v>
      </c>
      <c r="J390" s="232" t="s">
        <v>285</v>
      </c>
      <c r="K390" s="232"/>
      <c r="L390" s="232">
        <v>125</v>
      </c>
      <c r="M390" s="232">
        <v>0.5</v>
      </c>
      <c r="N390" s="232"/>
      <c r="O390" s="232">
        <v>1.393263889</v>
      </c>
      <c r="P390" s="429"/>
      <c r="Q390" s="429">
        <v>0</v>
      </c>
      <c r="R390" s="429">
        <v>7481.818221271113</v>
      </c>
      <c r="S390" s="429">
        <v>0</v>
      </c>
      <c r="T390" s="429">
        <v>0.46</v>
      </c>
      <c r="U390" s="429">
        <v>0.30789375396177415</v>
      </c>
      <c r="V390" s="429">
        <v>0.008</v>
      </c>
      <c r="AA390" t="s">
        <v>262</v>
      </c>
      <c r="BA390" t="s">
        <v>285</v>
      </c>
      <c r="BB390">
        <v>1.393263889</v>
      </c>
    </row>
    <row r="391" spans="8:54" ht="12.75">
      <c r="H391" s="232">
        <v>244</v>
      </c>
      <c r="I391" s="232" t="s">
        <v>55</v>
      </c>
      <c r="J391" s="232" t="s">
        <v>285</v>
      </c>
      <c r="K391" s="232"/>
      <c r="L391" s="232">
        <v>125</v>
      </c>
      <c r="M391" s="232">
        <v>0.5</v>
      </c>
      <c r="N391" s="232"/>
      <c r="O391" s="232">
        <v>1.393263889</v>
      </c>
      <c r="P391" s="429"/>
      <c r="Q391" s="429">
        <v>0</v>
      </c>
      <c r="R391" s="429">
        <v>7481.818221271113</v>
      </c>
      <c r="S391" s="429">
        <v>0</v>
      </c>
      <c r="T391" s="429">
        <v>0.46</v>
      </c>
      <c r="U391" s="429">
        <v>0.30789375396177415</v>
      </c>
      <c r="V391" s="429">
        <v>0.008</v>
      </c>
      <c r="AA391" t="s">
        <v>282</v>
      </c>
      <c r="BA391" t="s">
        <v>285</v>
      </c>
      <c r="BB391">
        <v>1.393263889</v>
      </c>
    </row>
    <row r="392" spans="8:54" ht="12.75">
      <c r="H392" s="232">
        <v>257</v>
      </c>
      <c r="I392" s="232" t="s">
        <v>55</v>
      </c>
      <c r="J392" s="232" t="s">
        <v>285</v>
      </c>
      <c r="K392" s="232"/>
      <c r="L392" s="232">
        <v>125</v>
      </c>
      <c r="M392" s="232">
        <v>0.5</v>
      </c>
      <c r="N392" s="232"/>
      <c r="O392" s="232">
        <v>1.393263889</v>
      </c>
      <c r="P392" s="429"/>
      <c r="Q392" s="429">
        <v>0</v>
      </c>
      <c r="R392" s="429">
        <v>7469.010568508925</v>
      </c>
      <c r="S392" s="429">
        <v>0</v>
      </c>
      <c r="T392" s="429">
        <v>0.46</v>
      </c>
      <c r="U392" s="429">
        <v>0.30736669006209566</v>
      </c>
      <c r="V392" s="429">
        <v>0.008</v>
      </c>
      <c r="AA392" t="s">
        <v>274</v>
      </c>
      <c r="BA392" t="s">
        <v>285</v>
      </c>
      <c r="BB392">
        <v>1.393263889</v>
      </c>
    </row>
    <row r="393" spans="8:27" ht="12.75">
      <c r="H393" s="232"/>
      <c r="I393" s="232"/>
      <c r="J393" s="232"/>
      <c r="K393" s="232"/>
      <c r="L393" s="232"/>
      <c r="M393" s="232"/>
      <c r="N393" s="232"/>
      <c r="O393" s="232"/>
      <c r="P393" s="429"/>
      <c r="Q393" s="429"/>
      <c r="R393" s="429"/>
      <c r="S393" s="429"/>
      <c r="T393" s="429"/>
      <c r="U393" s="429"/>
      <c r="V393" s="429"/>
      <c r="AA393" t="s">
        <v>256</v>
      </c>
    </row>
    <row r="394" spans="8:22" ht="12.75">
      <c r="H394" s="232"/>
      <c r="I394" s="232"/>
      <c r="J394" s="232"/>
      <c r="K394" s="232"/>
      <c r="L394" s="232"/>
      <c r="M394" s="232"/>
      <c r="N394" s="232"/>
      <c r="O394" s="232"/>
      <c r="P394" s="429"/>
      <c r="Q394" s="429"/>
      <c r="R394" s="429"/>
      <c r="S394" s="429"/>
      <c r="T394" s="429"/>
      <c r="U394" s="429"/>
      <c r="V394" s="429"/>
    </row>
    <row r="395" spans="8:27" ht="12.75">
      <c r="H395" s="232"/>
      <c r="I395" s="232"/>
      <c r="J395" s="232"/>
      <c r="K395" s="232"/>
      <c r="L395" s="232"/>
      <c r="M395" s="232"/>
      <c r="N395" s="232"/>
      <c r="O395" s="232"/>
      <c r="P395" s="429"/>
      <c r="Q395" s="429"/>
      <c r="R395" s="429"/>
      <c r="S395" s="429"/>
      <c r="T395" s="429"/>
      <c r="U395" s="429"/>
      <c r="V395" s="429"/>
      <c r="AA395" t="s">
        <v>284</v>
      </c>
    </row>
    <row r="396" spans="8:27" ht="12.75">
      <c r="H396" s="232"/>
      <c r="I396" s="232"/>
      <c r="J396" s="232"/>
      <c r="K396" s="232"/>
      <c r="L396" s="232"/>
      <c r="M396" s="232"/>
      <c r="N396" s="232"/>
      <c r="O396" s="232"/>
      <c r="P396" s="429"/>
      <c r="Q396" s="429"/>
      <c r="R396" s="429"/>
      <c r="S396" s="429"/>
      <c r="T396" s="429"/>
      <c r="U396" s="429"/>
      <c r="V396" s="429"/>
      <c r="AA396" t="s">
        <v>253</v>
      </c>
    </row>
    <row r="397" spans="8:22" ht="12.75">
      <c r="H397" s="232"/>
      <c r="I397" s="232"/>
      <c r="J397" s="232"/>
      <c r="K397" s="232"/>
      <c r="L397" s="232"/>
      <c r="M397" s="232"/>
      <c r="N397" s="232"/>
      <c r="O397" s="232"/>
      <c r="P397" s="429"/>
      <c r="Q397" s="429"/>
      <c r="R397" s="429"/>
      <c r="S397" s="429"/>
      <c r="T397" s="429"/>
      <c r="U397" s="429"/>
      <c r="V397" s="429"/>
    </row>
    <row r="398" spans="8:27" ht="12.75">
      <c r="H398" s="232"/>
      <c r="I398" s="232"/>
      <c r="J398" s="232"/>
      <c r="K398" s="232"/>
      <c r="L398" s="232"/>
      <c r="M398" s="232"/>
      <c r="N398" s="232"/>
      <c r="O398" s="232"/>
      <c r="P398" s="429"/>
      <c r="Q398" s="429"/>
      <c r="R398" s="429"/>
      <c r="S398" s="429"/>
      <c r="T398" s="429"/>
      <c r="U398" s="429"/>
      <c r="V398" s="429"/>
      <c r="AA398" t="s">
        <v>283</v>
      </c>
    </row>
    <row r="399" spans="8:27" ht="12.75">
      <c r="H399" s="232"/>
      <c r="I399" s="232"/>
      <c r="J399" s="232"/>
      <c r="K399" s="232"/>
      <c r="L399" s="232"/>
      <c r="M399" s="232"/>
      <c r="N399" s="232"/>
      <c r="O399" s="232"/>
      <c r="P399" s="429"/>
      <c r="Q399" s="429"/>
      <c r="R399" s="429"/>
      <c r="S399" s="429"/>
      <c r="T399" s="429"/>
      <c r="U399" s="429"/>
      <c r="V399" s="429"/>
      <c r="AA399" t="s">
        <v>272</v>
      </c>
    </row>
    <row r="400" spans="8:22" ht="12.75">
      <c r="H400" s="232"/>
      <c r="I400" s="232"/>
      <c r="J400" s="232"/>
      <c r="K400" s="232"/>
      <c r="L400" s="232"/>
      <c r="M400" s="232"/>
      <c r="N400" s="232"/>
      <c r="O400" s="232"/>
      <c r="P400" s="429"/>
      <c r="Q400" s="429"/>
      <c r="R400" s="429"/>
      <c r="S400" s="429"/>
      <c r="T400" s="429"/>
      <c r="U400" s="429"/>
      <c r="V400" s="429"/>
    </row>
    <row r="401" spans="8:27" ht="12.75">
      <c r="H401" s="232"/>
      <c r="I401" s="232"/>
      <c r="J401" s="232"/>
      <c r="K401" s="232"/>
      <c r="L401" s="232"/>
      <c r="M401" s="232"/>
      <c r="N401" s="232"/>
      <c r="O401" s="232"/>
      <c r="P401" s="429"/>
      <c r="Q401" s="429"/>
      <c r="R401" s="429"/>
      <c r="S401" s="429"/>
      <c r="T401" s="429"/>
      <c r="U401" s="429"/>
      <c r="V401" s="429"/>
      <c r="AA401" t="s">
        <v>267</v>
      </c>
    </row>
    <row r="402" spans="8:27" ht="12.75">
      <c r="H402" s="232"/>
      <c r="I402" s="232"/>
      <c r="J402" s="232"/>
      <c r="K402" s="232"/>
      <c r="L402" s="232"/>
      <c r="M402" s="232"/>
      <c r="N402" s="232"/>
      <c r="O402" s="232"/>
      <c r="P402" s="429"/>
      <c r="Q402" s="429"/>
      <c r="R402" s="429"/>
      <c r="S402" s="429"/>
      <c r="T402" s="429"/>
      <c r="U402" s="429"/>
      <c r="V402" s="429"/>
      <c r="AA402" t="s">
        <v>253</v>
      </c>
    </row>
    <row r="403" spans="8:22" ht="12.75">
      <c r="H403" s="232"/>
      <c r="I403" s="232"/>
      <c r="J403" s="232"/>
      <c r="K403" s="232"/>
      <c r="L403" s="232"/>
      <c r="M403" s="232"/>
      <c r="N403" s="232"/>
      <c r="O403" s="232"/>
      <c r="P403" s="429"/>
      <c r="Q403" s="429"/>
      <c r="R403" s="429"/>
      <c r="S403" s="429"/>
      <c r="T403" s="429"/>
      <c r="U403" s="429"/>
      <c r="V403" s="429"/>
    </row>
    <row r="404" spans="8:27" ht="12.75">
      <c r="H404" s="232"/>
      <c r="I404" s="232"/>
      <c r="J404" s="232"/>
      <c r="K404" s="232"/>
      <c r="L404" s="232"/>
      <c r="M404" s="232"/>
      <c r="N404" s="232"/>
      <c r="O404" s="232"/>
      <c r="P404" s="429"/>
      <c r="Q404" s="429"/>
      <c r="R404" s="429"/>
      <c r="S404" s="429"/>
      <c r="T404" s="429"/>
      <c r="U404" s="429"/>
      <c r="V404" s="429"/>
      <c r="AA404" t="s">
        <v>262</v>
      </c>
    </row>
    <row r="405" spans="8:27" ht="12.75">
      <c r="H405" s="232"/>
      <c r="I405" s="232"/>
      <c r="J405" s="232"/>
      <c r="K405" s="232"/>
      <c r="L405" s="232"/>
      <c r="M405" s="232"/>
      <c r="N405" s="232"/>
      <c r="O405" s="232"/>
      <c r="P405" s="429"/>
      <c r="Q405" s="429"/>
      <c r="R405" s="429"/>
      <c r="S405" s="429"/>
      <c r="T405" s="429"/>
      <c r="U405" s="429"/>
      <c r="V405" s="429"/>
      <c r="AA405" t="s">
        <v>47</v>
      </c>
    </row>
    <row r="406" spans="8:22" ht="12.75">
      <c r="H406" s="232"/>
      <c r="I406" s="232"/>
      <c r="J406" s="232"/>
      <c r="K406" s="232"/>
      <c r="L406" s="232"/>
      <c r="M406" s="232"/>
      <c r="N406" s="232"/>
      <c r="O406" s="232"/>
      <c r="P406" s="429"/>
      <c r="Q406" s="429"/>
      <c r="R406" s="429"/>
      <c r="S406" s="429"/>
      <c r="T406" s="429"/>
      <c r="U406" s="429"/>
      <c r="V406" s="429"/>
    </row>
    <row r="407" spans="8:27" ht="12.75">
      <c r="H407" s="232"/>
      <c r="I407" s="232"/>
      <c r="J407" s="232"/>
      <c r="K407" s="232"/>
      <c r="L407" s="232"/>
      <c r="M407" s="232"/>
      <c r="N407" s="232"/>
      <c r="O407" s="232"/>
      <c r="P407" s="429"/>
      <c r="Q407" s="429"/>
      <c r="R407" s="429"/>
      <c r="S407" s="429"/>
      <c r="T407" s="429"/>
      <c r="U407" s="429"/>
      <c r="V407" s="429"/>
      <c r="AA407" t="s">
        <v>266</v>
      </c>
    </row>
    <row r="408" spans="8:27" ht="12.75">
      <c r="H408" s="232"/>
      <c r="I408" s="232"/>
      <c r="J408" s="232"/>
      <c r="K408" s="232"/>
      <c r="L408" s="232"/>
      <c r="M408" s="232"/>
      <c r="N408" s="232"/>
      <c r="O408" s="232"/>
      <c r="P408" s="429"/>
      <c r="Q408" s="429"/>
      <c r="R408" s="429"/>
      <c r="S408" s="429"/>
      <c r="T408" s="429"/>
      <c r="U408" s="429"/>
      <c r="V408" s="429"/>
      <c r="AA408" t="s">
        <v>278</v>
      </c>
    </row>
    <row r="409" spans="8:22" ht="12.75">
      <c r="H409" s="232"/>
      <c r="I409" s="232"/>
      <c r="J409" s="232"/>
      <c r="K409" s="232"/>
      <c r="L409" s="232"/>
      <c r="M409" s="232"/>
      <c r="N409" s="232"/>
      <c r="O409" s="232"/>
      <c r="P409" s="429"/>
      <c r="Q409" s="429"/>
      <c r="R409" s="429"/>
      <c r="S409" s="429"/>
      <c r="T409" s="429"/>
      <c r="U409" s="429"/>
      <c r="V409" s="429"/>
    </row>
    <row r="410" spans="8:27" ht="12.75">
      <c r="H410" s="232"/>
      <c r="I410" s="232"/>
      <c r="J410" s="232"/>
      <c r="K410" s="232"/>
      <c r="L410" s="232"/>
      <c r="M410" s="232"/>
      <c r="N410" s="232"/>
      <c r="O410" s="232"/>
      <c r="P410" s="429"/>
      <c r="Q410" s="429"/>
      <c r="R410" s="429"/>
      <c r="S410" s="429"/>
      <c r="T410" s="429"/>
      <c r="U410" s="429"/>
      <c r="V410" s="429"/>
      <c r="AA410" t="s">
        <v>286</v>
      </c>
    </row>
    <row r="411" spans="8:27" ht="12.75">
      <c r="H411" s="232"/>
      <c r="I411" s="232"/>
      <c r="J411" s="232"/>
      <c r="K411" s="232"/>
      <c r="L411" s="232"/>
      <c r="M411" s="232"/>
      <c r="N411" s="232"/>
      <c r="O411" s="232"/>
      <c r="P411" s="429"/>
      <c r="Q411" s="429"/>
      <c r="R411" s="429"/>
      <c r="S411" s="429"/>
      <c r="T411" s="429"/>
      <c r="U411" s="429"/>
      <c r="V411" s="429"/>
      <c r="AA411" t="s">
        <v>256</v>
      </c>
    </row>
    <row r="412" spans="8:22" ht="12.75">
      <c r="H412" s="232"/>
      <c r="I412" s="232"/>
      <c r="J412" s="232"/>
      <c r="K412" s="232"/>
      <c r="L412" s="232"/>
      <c r="M412" s="232"/>
      <c r="N412" s="232"/>
      <c r="O412" s="232"/>
      <c r="P412" s="429"/>
      <c r="Q412" s="429"/>
      <c r="R412" s="429"/>
      <c r="S412" s="429"/>
      <c r="T412" s="429"/>
      <c r="U412" s="429"/>
      <c r="V412" s="429"/>
    </row>
    <row r="413" spans="8:27" ht="12.75">
      <c r="H413" s="232"/>
      <c r="I413" s="232"/>
      <c r="J413" s="232"/>
      <c r="K413" s="232"/>
      <c r="L413" s="232"/>
      <c r="M413" s="232"/>
      <c r="N413" s="232"/>
      <c r="O413" s="232"/>
      <c r="P413" s="429"/>
      <c r="Q413" s="429"/>
      <c r="R413" s="429"/>
      <c r="S413" s="429"/>
      <c r="T413" s="429"/>
      <c r="U413" s="429"/>
      <c r="V413" s="429"/>
      <c r="AA413" t="s">
        <v>52</v>
      </c>
    </row>
    <row r="414" spans="8:27" ht="12.75">
      <c r="H414" s="232"/>
      <c r="I414" s="232"/>
      <c r="J414" s="232"/>
      <c r="K414" s="232"/>
      <c r="L414" s="232"/>
      <c r="M414" s="232"/>
      <c r="N414" s="232"/>
      <c r="O414" s="232"/>
      <c r="P414" s="429"/>
      <c r="Q414" s="429"/>
      <c r="R414" s="429"/>
      <c r="S414" s="429"/>
      <c r="T414" s="429"/>
      <c r="U414" s="429"/>
      <c r="V414" s="429"/>
      <c r="AA414" t="s">
        <v>253</v>
      </c>
    </row>
    <row r="415" spans="8:22" ht="12.75">
      <c r="H415" s="232"/>
      <c r="I415" s="232"/>
      <c r="J415" s="232"/>
      <c r="K415" s="232"/>
      <c r="L415" s="232"/>
      <c r="M415" s="232"/>
      <c r="N415" s="232"/>
      <c r="O415" s="232"/>
      <c r="P415" s="429"/>
      <c r="Q415" s="429"/>
      <c r="R415" s="429"/>
      <c r="S415" s="429"/>
      <c r="T415" s="429"/>
      <c r="U415" s="429"/>
      <c r="V415" s="429"/>
    </row>
    <row r="416" spans="8:27" ht="12.75">
      <c r="H416" s="232"/>
      <c r="I416" s="232"/>
      <c r="J416" s="232"/>
      <c r="K416" s="232"/>
      <c r="L416" s="232"/>
      <c r="M416" s="232"/>
      <c r="N416" s="232"/>
      <c r="O416" s="232"/>
      <c r="P416" s="429"/>
      <c r="Q416" s="429"/>
      <c r="R416" s="429"/>
      <c r="S416" s="429"/>
      <c r="T416" s="429"/>
      <c r="U416" s="429"/>
      <c r="V416" s="429"/>
      <c r="AA416" t="s">
        <v>262</v>
      </c>
    </row>
    <row r="417" spans="8:27" ht="12.75">
      <c r="H417" s="232"/>
      <c r="I417" s="232"/>
      <c r="J417" s="232"/>
      <c r="K417" s="232"/>
      <c r="L417" s="232"/>
      <c r="M417" s="232"/>
      <c r="N417" s="232"/>
      <c r="O417" s="232"/>
      <c r="P417" s="429"/>
      <c r="Q417" s="429"/>
      <c r="R417" s="429"/>
      <c r="S417" s="429"/>
      <c r="T417" s="429"/>
      <c r="U417" s="429"/>
      <c r="V417" s="429"/>
      <c r="AA417" t="s">
        <v>46</v>
      </c>
    </row>
    <row r="418" spans="8:22" ht="12.75">
      <c r="H418" s="232"/>
      <c r="I418" s="232"/>
      <c r="J418" s="232"/>
      <c r="K418" s="232"/>
      <c r="L418" s="232"/>
      <c r="M418" s="232"/>
      <c r="N418" s="232"/>
      <c r="O418" s="232"/>
      <c r="P418" s="429"/>
      <c r="Q418" s="429"/>
      <c r="R418" s="429"/>
      <c r="S418" s="429"/>
      <c r="T418" s="429"/>
      <c r="U418" s="429"/>
      <c r="V418" s="429"/>
    </row>
    <row r="419" spans="8:27" ht="12.75">
      <c r="H419" s="232"/>
      <c r="I419" s="232"/>
      <c r="J419" s="232"/>
      <c r="K419" s="232"/>
      <c r="L419" s="232"/>
      <c r="M419" s="232"/>
      <c r="N419" s="232"/>
      <c r="O419" s="232"/>
      <c r="P419" s="429"/>
      <c r="Q419" s="429"/>
      <c r="R419" s="429"/>
      <c r="S419" s="429"/>
      <c r="T419" s="429"/>
      <c r="U419" s="429"/>
      <c r="V419" s="429"/>
      <c r="AA419" t="s">
        <v>45</v>
      </c>
    </row>
    <row r="420" spans="8:27" ht="12.75">
      <c r="H420" s="232"/>
      <c r="I420" s="232"/>
      <c r="J420" s="232"/>
      <c r="K420" s="232"/>
      <c r="L420" s="232"/>
      <c r="M420" s="232"/>
      <c r="N420" s="232"/>
      <c r="O420" s="232"/>
      <c r="P420" s="429"/>
      <c r="Q420" s="429"/>
      <c r="R420" s="429"/>
      <c r="S420" s="429"/>
      <c r="T420" s="429"/>
      <c r="U420" s="429"/>
      <c r="V420" s="429"/>
      <c r="AA420" t="s">
        <v>256</v>
      </c>
    </row>
    <row r="421" spans="8:22" ht="12.75">
      <c r="H421" s="232"/>
      <c r="I421" s="232"/>
      <c r="J421" s="232"/>
      <c r="K421" s="232"/>
      <c r="L421" s="232"/>
      <c r="M421" s="232"/>
      <c r="N421" s="232"/>
      <c r="O421" s="232"/>
      <c r="P421" s="429"/>
      <c r="Q421" s="429"/>
      <c r="R421" s="429"/>
      <c r="S421" s="429"/>
      <c r="T421" s="429"/>
      <c r="U421" s="429"/>
      <c r="V421" s="429"/>
    </row>
    <row r="422" spans="8:27" ht="12.75">
      <c r="H422" s="232"/>
      <c r="I422" s="232"/>
      <c r="J422" s="232"/>
      <c r="K422" s="232"/>
      <c r="L422" s="232"/>
      <c r="M422" s="232"/>
      <c r="N422" s="232"/>
      <c r="O422" s="232"/>
      <c r="P422" s="429"/>
      <c r="Q422" s="429"/>
      <c r="R422" s="429"/>
      <c r="S422" s="429"/>
      <c r="T422" s="429"/>
      <c r="U422" s="429"/>
      <c r="V422" s="429"/>
      <c r="AA422" t="s">
        <v>269</v>
      </c>
    </row>
    <row r="423" spans="8:27" ht="12.75">
      <c r="H423" s="232"/>
      <c r="I423" s="232"/>
      <c r="J423" s="232"/>
      <c r="K423" s="232"/>
      <c r="L423" s="232"/>
      <c r="M423" s="232"/>
      <c r="N423" s="232"/>
      <c r="O423" s="232"/>
      <c r="P423" s="429"/>
      <c r="Q423" s="429"/>
      <c r="R423" s="429"/>
      <c r="S423" s="429"/>
      <c r="T423" s="429"/>
      <c r="U423" s="429"/>
      <c r="V423" s="429"/>
      <c r="AA423" t="s">
        <v>279</v>
      </c>
    </row>
    <row r="424" spans="8:22" ht="12.75">
      <c r="H424" s="232"/>
      <c r="I424" s="232"/>
      <c r="J424" s="232"/>
      <c r="K424" s="232"/>
      <c r="L424" s="232"/>
      <c r="M424" s="232"/>
      <c r="N424" s="232"/>
      <c r="O424" s="232"/>
      <c r="P424" s="429"/>
      <c r="Q424" s="429"/>
      <c r="R424" s="429"/>
      <c r="S424" s="429"/>
      <c r="T424" s="429"/>
      <c r="U424" s="429"/>
      <c r="V424" s="429"/>
    </row>
    <row r="425" spans="8:27" ht="12.75">
      <c r="H425" s="232"/>
      <c r="I425" s="232"/>
      <c r="J425" s="232"/>
      <c r="K425" s="232"/>
      <c r="L425" s="232"/>
      <c r="M425" s="232"/>
      <c r="N425" s="232"/>
      <c r="O425" s="232"/>
      <c r="P425" s="429"/>
      <c r="Q425" s="429"/>
      <c r="R425" s="429"/>
      <c r="S425" s="429"/>
      <c r="T425" s="429"/>
      <c r="U425" s="429"/>
      <c r="V425" s="429"/>
      <c r="AA425" t="s">
        <v>266</v>
      </c>
    </row>
    <row r="426" spans="8:27" ht="12.75">
      <c r="H426" s="232"/>
      <c r="I426" s="232"/>
      <c r="J426" s="232"/>
      <c r="K426" s="232"/>
      <c r="L426" s="232"/>
      <c r="M426" s="232"/>
      <c r="N426" s="232"/>
      <c r="O426" s="232"/>
      <c r="P426" s="429"/>
      <c r="Q426" s="429"/>
      <c r="R426" s="429"/>
      <c r="S426" s="429"/>
      <c r="T426" s="429"/>
      <c r="U426" s="429"/>
      <c r="V426" s="429"/>
      <c r="AA426" t="s">
        <v>258</v>
      </c>
    </row>
    <row r="427" spans="8:22" ht="12.75">
      <c r="H427" s="232"/>
      <c r="I427" s="232"/>
      <c r="J427" s="232"/>
      <c r="K427" s="232"/>
      <c r="L427" s="232"/>
      <c r="M427" s="232"/>
      <c r="N427" s="232"/>
      <c r="O427" s="232"/>
      <c r="P427" s="429"/>
      <c r="Q427" s="429"/>
      <c r="R427" s="429"/>
      <c r="S427" s="429"/>
      <c r="T427" s="429"/>
      <c r="U427" s="429"/>
      <c r="V427" s="429"/>
    </row>
    <row r="428" spans="8:27" ht="12.75">
      <c r="H428" s="232"/>
      <c r="I428" s="232"/>
      <c r="J428" s="232"/>
      <c r="K428" s="232"/>
      <c r="L428" s="232"/>
      <c r="M428" s="232"/>
      <c r="N428" s="232"/>
      <c r="O428" s="232"/>
      <c r="P428" s="429"/>
      <c r="Q428" s="429"/>
      <c r="R428" s="429"/>
      <c r="S428" s="429"/>
      <c r="T428" s="429"/>
      <c r="U428" s="429"/>
      <c r="V428" s="429"/>
      <c r="AA428" t="s">
        <v>286</v>
      </c>
    </row>
    <row r="429" spans="8:27" ht="12.75">
      <c r="H429" s="232"/>
      <c r="I429" s="232"/>
      <c r="J429" s="232"/>
      <c r="K429" s="232"/>
      <c r="L429" s="232"/>
      <c r="M429" s="232"/>
      <c r="N429" s="232"/>
      <c r="O429" s="232"/>
      <c r="P429" s="429"/>
      <c r="Q429" s="429"/>
      <c r="R429" s="429"/>
      <c r="S429" s="429"/>
      <c r="T429" s="429"/>
      <c r="U429" s="429"/>
      <c r="V429" s="429"/>
      <c r="AA429" t="s">
        <v>254</v>
      </c>
    </row>
    <row r="430" spans="8:22" ht="12.75">
      <c r="H430" s="232"/>
      <c r="I430" s="232"/>
      <c r="J430" s="232"/>
      <c r="K430" s="232"/>
      <c r="L430" s="232"/>
      <c r="M430" s="232"/>
      <c r="N430" s="232"/>
      <c r="O430" s="232"/>
      <c r="P430" s="429"/>
      <c r="Q430" s="429"/>
      <c r="R430" s="429"/>
      <c r="S430" s="429"/>
      <c r="T430" s="429"/>
      <c r="U430" s="429"/>
      <c r="V430" s="429"/>
    </row>
    <row r="431" spans="8:27" ht="12.75">
      <c r="H431" s="232"/>
      <c r="I431" s="232"/>
      <c r="J431" s="232"/>
      <c r="K431" s="232"/>
      <c r="L431" s="232"/>
      <c r="M431" s="232"/>
      <c r="N431" s="232"/>
      <c r="O431" s="232"/>
      <c r="P431" s="429"/>
      <c r="Q431" s="429"/>
      <c r="R431" s="429"/>
      <c r="S431" s="429"/>
      <c r="T431" s="429"/>
      <c r="U431" s="429"/>
      <c r="V431" s="429"/>
      <c r="AA431" t="s">
        <v>52</v>
      </c>
    </row>
    <row r="432" spans="8:27" ht="12.75">
      <c r="H432" s="232"/>
      <c r="I432" s="232"/>
      <c r="J432" s="232"/>
      <c r="K432" s="232"/>
      <c r="L432" s="232"/>
      <c r="M432" s="232"/>
      <c r="N432" s="232"/>
      <c r="O432" s="232"/>
      <c r="P432" s="429"/>
      <c r="Q432" s="429"/>
      <c r="R432" s="429"/>
      <c r="S432" s="429"/>
      <c r="T432" s="429"/>
      <c r="U432" s="429"/>
      <c r="V432" s="429"/>
      <c r="AA432" t="s">
        <v>273</v>
      </c>
    </row>
    <row r="433" spans="8:22" ht="12.75">
      <c r="H433" s="232"/>
      <c r="I433" s="232"/>
      <c r="J433" s="232"/>
      <c r="K433" s="232"/>
      <c r="L433" s="232"/>
      <c r="M433" s="232"/>
      <c r="N433" s="232"/>
      <c r="O433" s="232"/>
      <c r="P433" s="429"/>
      <c r="Q433" s="429"/>
      <c r="R433" s="429"/>
      <c r="S433" s="429"/>
      <c r="T433" s="429"/>
      <c r="U433" s="429"/>
      <c r="V433" s="429"/>
    </row>
    <row r="434" spans="8:27" ht="12.75">
      <c r="H434" s="232"/>
      <c r="I434" s="232"/>
      <c r="J434" s="232"/>
      <c r="K434" s="232"/>
      <c r="L434" s="232"/>
      <c r="M434" s="232"/>
      <c r="N434" s="232"/>
      <c r="O434" s="232"/>
      <c r="P434" s="429"/>
      <c r="Q434" s="429"/>
      <c r="R434" s="429"/>
      <c r="S434" s="429"/>
      <c r="T434" s="429"/>
      <c r="U434" s="429"/>
      <c r="V434" s="429"/>
      <c r="AA434" t="s">
        <v>268</v>
      </c>
    </row>
    <row r="435" spans="8:27" ht="12.75">
      <c r="H435" s="232"/>
      <c r="I435" s="232"/>
      <c r="J435" s="232"/>
      <c r="K435" s="232"/>
      <c r="L435" s="232"/>
      <c r="M435" s="232"/>
      <c r="N435" s="232"/>
      <c r="O435" s="232"/>
      <c r="P435" s="429"/>
      <c r="Q435" s="429"/>
      <c r="R435" s="429"/>
      <c r="S435" s="429"/>
      <c r="T435" s="429"/>
      <c r="U435" s="429"/>
      <c r="V435" s="429"/>
      <c r="AA435" t="s">
        <v>254</v>
      </c>
    </row>
    <row r="436" spans="8:22" ht="12.75">
      <c r="H436" s="232"/>
      <c r="I436" s="232"/>
      <c r="J436" s="232"/>
      <c r="K436" s="232"/>
      <c r="L436" s="232"/>
      <c r="M436" s="232"/>
      <c r="N436" s="232"/>
      <c r="O436" s="232"/>
      <c r="P436" s="429"/>
      <c r="Q436" s="429"/>
      <c r="R436" s="429"/>
      <c r="S436" s="429"/>
      <c r="T436" s="429"/>
      <c r="U436" s="429"/>
      <c r="V436" s="429"/>
    </row>
    <row r="437" spans="8:22" ht="12.75">
      <c r="H437" s="232"/>
      <c r="I437" s="232"/>
      <c r="J437" s="232"/>
      <c r="K437" s="232"/>
      <c r="L437" s="232"/>
      <c r="M437" s="232"/>
      <c r="N437" s="232"/>
      <c r="O437" s="232"/>
      <c r="P437" s="429"/>
      <c r="Q437" s="429"/>
      <c r="R437" s="429"/>
      <c r="S437" s="429"/>
      <c r="T437" s="429"/>
      <c r="U437" s="429"/>
      <c r="V437" s="429"/>
    </row>
    <row r="438" spans="8:27" ht="12.75">
      <c r="H438" s="232"/>
      <c r="I438" s="232"/>
      <c r="J438" s="232"/>
      <c r="K438" s="232"/>
      <c r="L438" s="232"/>
      <c r="M438" s="232"/>
      <c r="N438" s="232"/>
      <c r="O438" s="232"/>
      <c r="P438" s="429"/>
      <c r="Q438" s="429"/>
      <c r="R438" s="429"/>
      <c r="S438" s="429"/>
      <c r="T438" s="429"/>
      <c r="U438" s="429"/>
      <c r="V438" s="429"/>
      <c r="AA438" t="s">
        <v>282</v>
      </c>
    </row>
    <row r="439" spans="8:22" ht="12.75">
      <c r="H439" s="232"/>
      <c r="I439" s="232"/>
      <c r="J439" s="232"/>
      <c r="K439" s="232"/>
      <c r="L439" s="232"/>
      <c r="M439" s="232"/>
      <c r="N439" s="232"/>
      <c r="O439" s="232"/>
      <c r="P439" s="429"/>
      <c r="Q439" s="429"/>
      <c r="R439" s="429"/>
      <c r="S439" s="429"/>
      <c r="T439" s="429"/>
      <c r="U439" s="429"/>
      <c r="V439" s="429"/>
    </row>
    <row r="440" spans="8:27" ht="12.75">
      <c r="H440" s="232"/>
      <c r="I440" s="232"/>
      <c r="J440" s="232"/>
      <c r="K440" s="232"/>
      <c r="L440" s="232"/>
      <c r="M440" s="232"/>
      <c r="N440" s="232"/>
      <c r="O440" s="232"/>
      <c r="P440" s="429"/>
      <c r="Q440" s="429"/>
      <c r="R440" s="429"/>
      <c r="S440" s="429"/>
      <c r="T440" s="429"/>
      <c r="U440" s="429"/>
      <c r="V440" s="429"/>
      <c r="AA440" t="s">
        <v>268</v>
      </c>
    </row>
    <row r="441" spans="8:27" ht="12.75">
      <c r="H441" s="232"/>
      <c r="I441" s="232"/>
      <c r="J441" s="232"/>
      <c r="K441" s="232"/>
      <c r="L441" s="232"/>
      <c r="M441" s="232"/>
      <c r="N441" s="232"/>
      <c r="O441" s="232"/>
      <c r="P441" s="429"/>
      <c r="Q441" s="429"/>
      <c r="R441" s="429"/>
      <c r="S441" s="429"/>
      <c r="T441" s="429"/>
      <c r="U441" s="429"/>
      <c r="V441" s="429"/>
      <c r="AA441" t="s">
        <v>279</v>
      </c>
    </row>
    <row r="442" spans="8:22" ht="12.75">
      <c r="H442" s="232"/>
      <c r="I442" s="232"/>
      <c r="J442" s="232"/>
      <c r="K442" s="232"/>
      <c r="L442" s="232"/>
      <c r="M442" s="232"/>
      <c r="N442" s="232"/>
      <c r="O442" s="232"/>
      <c r="P442" s="429"/>
      <c r="Q442" s="429"/>
      <c r="R442" s="429"/>
      <c r="S442" s="429"/>
      <c r="T442" s="429"/>
      <c r="U442" s="429"/>
      <c r="V442" s="429"/>
    </row>
    <row r="443" spans="8:27" ht="12.75">
      <c r="H443" s="232"/>
      <c r="I443" s="232"/>
      <c r="J443" s="232"/>
      <c r="K443" s="232"/>
      <c r="L443" s="232"/>
      <c r="M443" s="232"/>
      <c r="N443" s="232"/>
      <c r="O443" s="232"/>
      <c r="P443" s="429"/>
      <c r="Q443" s="429"/>
      <c r="R443" s="429"/>
      <c r="S443" s="429"/>
      <c r="T443" s="429"/>
      <c r="U443" s="429"/>
      <c r="V443" s="429"/>
      <c r="AA443" t="s">
        <v>52</v>
      </c>
    </row>
    <row r="444" spans="8:27" ht="12.75">
      <c r="H444" s="232"/>
      <c r="I444" s="232"/>
      <c r="J444" s="232"/>
      <c r="K444" s="232"/>
      <c r="L444" s="232"/>
      <c r="M444" s="232"/>
      <c r="N444" s="232"/>
      <c r="O444" s="232"/>
      <c r="P444" s="429"/>
      <c r="Q444" s="429"/>
      <c r="R444" s="429"/>
      <c r="S444" s="429"/>
      <c r="T444" s="429"/>
      <c r="U444" s="429"/>
      <c r="V444" s="429"/>
      <c r="AA444" t="s">
        <v>258</v>
      </c>
    </row>
    <row r="445" spans="8:22" ht="12.75">
      <c r="H445" s="232"/>
      <c r="I445" s="232"/>
      <c r="J445" s="232"/>
      <c r="K445" s="232"/>
      <c r="L445" s="232"/>
      <c r="M445" s="232"/>
      <c r="N445" s="232"/>
      <c r="O445" s="232"/>
      <c r="P445" s="429"/>
      <c r="Q445" s="429"/>
      <c r="R445" s="429"/>
      <c r="S445" s="429"/>
      <c r="T445" s="429"/>
      <c r="U445" s="429"/>
      <c r="V445" s="429"/>
    </row>
    <row r="446" spans="8:27" ht="12.75">
      <c r="H446" s="232"/>
      <c r="I446" s="232"/>
      <c r="J446" s="232"/>
      <c r="K446" s="232"/>
      <c r="L446" s="232"/>
      <c r="M446" s="232"/>
      <c r="N446" s="232"/>
      <c r="O446" s="232"/>
      <c r="P446" s="429"/>
      <c r="Q446" s="429"/>
      <c r="R446" s="429"/>
      <c r="S446" s="429"/>
      <c r="T446" s="429"/>
      <c r="U446" s="429"/>
      <c r="V446" s="429"/>
      <c r="AA446" t="s">
        <v>284</v>
      </c>
    </row>
    <row r="447" spans="8:27" ht="12.75">
      <c r="H447" s="232"/>
      <c r="I447" s="232"/>
      <c r="J447" s="232"/>
      <c r="K447" s="232"/>
      <c r="L447" s="232"/>
      <c r="M447" s="232"/>
      <c r="N447" s="232"/>
      <c r="O447" s="232"/>
      <c r="P447" s="429"/>
      <c r="Q447" s="429"/>
      <c r="R447" s="429"/>
      <c r="S447" s="429"/>
      <c r="T447" s="429"/>
      <c r="U447" s="429"/>
      <c r="V447" s="429"/>
      <c r="AA447" t="s">
        <v>254</v>
      </c>
    </row>
    <row r="448" spans="8:22" ht="12.75">
      <c r="H448" s="232"/>
      <c r="I448" s="232"/>
      <c r="J448" s="232"/>
      <c r="K448" s="232"/>
      <c r="L448" s="232"/>
      <c r="M448" s="232"/>
      <c r="N448" s="232"/>
      <c r="O448" s="232"/>
      <c r="P448" s="429"/>
      <c r="Q448" s="429"/>
      <c r="R448" s="429"/>
      <c r="S448" s="429"/>
      <c r="T448" s="429"/>
      <c r="U448" s="429"/>
      <c r="V448" s="429"/>
    </row>
    <row r="449" spans="8:22" ht="12.75">
      <c r="H449" s="232"/>
      <c r="I449" s="232"/>
      <c r="J449" s="232"/>
      <c r="K449" s="232"/>
      <c r="L449" s="232"/>
      <c r="M449" s="232"/>
      <c r="N449" s="232"/>
      <c r="O449" s="232"/>
      <c r="P449" s="429"/>
      <c r="Q449" s="429"/>
      <c r="R449" s="429"/>
      <c r="S449" s="429"/>
      <c r="T449" s="429"/>
      <c r="U449" s="429"/>
      <c r="V449" s="429"/>
    </row>
    <row r="450" spans="8:27" ht="12.75">
      <c r="H450" s="232"/>
      <c r="I450" s="232"/>
      <c r="J450" s="232"/>
      <c r="K450" s="232"/>
      <c r="L450" s="232"/>
      <c r="M450" s="232"/>
      <c r="N450" s="232"/>
      <c r="O450" s="232"/>
      <c r="P450" s="429"/>
      <c r="Q450" s="429"/>
      <c r="R450" s="429"/>
      <c r="S450" s="429"/>
      <c r="T450" s="429"/>
      <c r="U450" s="429"/>
      <c r="V450" s="429"/>
      <c r="AA450" t="s">
        <v>47</v>
      </c>
    </row>
    <row r="451" spans="8:22" ht="12.75">
      <c r="H451" s="232"/>
      <c r="I451" s="232"/>
      <c r="J451" s="232"/>
      <c r="K451" s="232"/>
      <c r="L451" s="232"/>
      <c r="M451" s="232"/>
      <c r="N451" s="232"/>
      <c r="O451" s="232"/>
      <c r="P451" s="429"/>
      <c r="Q451" s="429"/>
      <c r="R451" s="429"/>
      <c r="S451" s="429"/>
      <c r="T451" s="429"/>
      <c r="U451" s="429"/>
      <c r="V451" s="429"/>
    </row>
    <row r="452" spans="8:27" ht="12.75">
      <c r="H452" s="232"/>
      <c r="I452" s="232"/>
      <c r="J452" s="232"/>
      <c r="K452" s="232"/>
      <c r="L452" s="232"/>
      <c r="M452" s="232"/>
      <c r="N452" s="232"/>
      <c r="O452" s="232"/>
      <c r="P452" s="429"/>
      <c r="Q452" s="429"/>
      <c r="R452" s="429"/>
      <c r="S452" s="429"/>
      <c r="T452" s="429"/>
      <c r="U452" s="429"/>
      <c r="V452" s="429"/>
      <c r="AA452" t="s">
        <v>266</v>
      </c>
    </row>
    <row r="453" spans="8:27" ht="12.75">
      <c r="H453" s="232"/>
      <c r="I453" s="232"/>
      <c r="J453" s="232"/>
      <c r="K453" s="232"/>
      <c r="L453" s="232"/>
      <c r="M453" s="232"/>
      <c r="N453" s="232"/>
      <c r="O453" s="232"/>
      <c r="P453" s="429"/>
      <c r="Q453" s="429"/>
      <c r="R453" s="429"/>
      <c r="S453" s="429"/>
      <c r="T453" s="429"/>
      <c r="U453" s="429"/>
      <c r="V453" s="429"/>
      <c r="AA453" t="s">
        <v>258</v>
      </c>
    </row>
    <row r="454" spans="8:22" ht="12.75">
      <c r="H454" s="232"/>
      <c r="I454" s="232"/>
      <c r="J454" s="232"/>
      <c r="K454" s="232"/>
      <c r="L454" s="232"/>
      <c r="M454" s="232"/>
      <c r="N454" s="232"/>
      <c r="O454" s="232"/>
      <c r="P454" s="429"/>
      <c r="Q454" s="429"/>
      <c r="R454" s="429"/>
      <c r="S454" s="429"/>
      <c r="T454" s="429"/>
      <c r="U454" s="429"/>
      <c r="V454" s="429"/>
    </row>
    <row r="455" spans="8:27" ht="12.75">
      <c r="H455" s="232"/>
      <c r="I455" s="232"/>
      <c r="J455" s="232"/>
      <c r="K455" s="232"/>
      <c r="L455" s="232"/>
      <c r="M455" s="232"/>
      <c r="N455" s="232"/>
      <c r="O455" s="232"/>
      <c r="P455" s="429"/>
      <c r="Q455" s="429"/>
      <c r="R455" s="429"/>
      <c r="S455" s="429"/>
      <c r="T455" s="429"/>
      <c r="U455" s="429"/>
      <c r="V455" s="429"/>
      <c r="AA455" t="s">
        <v>271</v>
      </c>
    </row>
    <row r="456" spans="8:27" ht="12.75">
      <c r="H456" s="232"/>
      <c r="I456" s="232"/>
      <c r="J456" s="232"/>
      <c r="K456" s="232"/>
      <c r="L456" s="232"/>
      <c r="M456" s="232"/>
      <c r="N456" s="232"/>
      <c r="O456" s="232"/>
      <c r="P456" s="429"/>
      <c r="Q456" s="429"/>
      <c r="R456" s="429"/>
      <c r="S456" s="429"/>
      <c r="T456" s="429"/>
      <c r="U456" s="429"/>
      <c r="V456" s="429"/>
      <c r="AA456" t="s">
        <v>47</v>
      </c>
    </row>
    <row r="457" spans="8:22" ht="12.75">
      <c r="H457" s="232"/>
      <c r="I457" s="232"/>
      <c r="J457" s="232"/>
      <c r="K457" s="232"/>
      <c r="L457" s="232"/>
      <c r="M457" s="232"/>
      <c r="N457" s="232"/>
      <c r="O457" s="232"/>
      <c r="P457" s="429"/>
      <c r="Q457" s="429"/>
      <c r="R457" s="429"/>
      <c r="S457" s="429"/>
      <c r="T457" s="429"/>
      <c r="U457" s="429"/>
      <c r="V457" s="429"/>
    </row>
    <row r="458" spans="8:27" ht="12.75">
      <c r="H458" s="232"/>
      <c r="I458" s="232"/>
      <c r="J458" s="232"/>
      <c r="K458" s="232"/>
      <c r="L458" s="232"/>
      <c r="M458" s="232"/>
      <c r="N458" s="232"/>
      <c r="O458" s="232"/>
      <c r="P458" s="429"/>
      <c r="Q458" s="429"/>
      <c r="R458" s="429"/>
      <c r="S458" s="429"/>
      <c r="T458" s="429"/>
      <c r="U458" s="429"/>
      <c r="V458" s="429"/>
      <c r="AA458" t="s">
        <v>266</v>
      </c>
    </row>
    <row r="459" spans="8:27" ht="12.75">
      <c r="H459" s="232"/>
      <c r="I459" s="232"/>
      <c r="J459" s="232"/>
      <c r="K459" s="232"/>
      <c r="L459" s="232"/>
      <c r="M459" s="232"/>
      <c r="N459" s="232"/>
      <c r="O459" s="232"/>
      <c r="P459" s="429"/>
      <c r="Q459" s="429"/>
      <c r="R459" s="429"/>
      <c r="S459" s="429"/>
      <c r="T459" s="429"/>
      <c r="U459" s="429"/>
      <c r="V459" s="429"/>
      <c r="AA459" t="s">
        <v>258</v>
      </c>
    </row>
    <row r="460" spans="8:22" ht="12.75">
      <c r="H460" s="232"/>
      <c r="I460" s="232"/>
      <c r="J460" s="232"/>
      <c r="K460" s="232"/>
      <c r="L460" s="232"/>
      <c r="M460" s="232"/>
      <c r="N460" s="232"/>
      <c r="O460" s="232"/>
      <c r="P460" s="429"/>
      <c r="Q460" s="429"/>
      <c r="R460" s="429"/>
      <c r="S460" s="429"/>
      <c r="T460" s="429"/>
      <c r="U460" s="429"/>
      <c r="V460" s="429"/>
    </row>
    <row r="461" spans="8:27" ht="12.75">
      <c r="H461" s="232"/>
      <c r="I461" s="232"/>
      <c r="J461" s="232"/>
      <c r="K461" s="232"/>
      <c r="L461" s="232"/>
      <c r="M461" s="232"/>
      <c r="N461" s="232"/>
      <c r="O461" s="232"/>
      <c r="P461" s="429"/>
      <c r="Q461" s="429"/>
      <c r="R461" s="429"/>
      <c r="S461" s="429"/>
      <c r="T461" s="429"/>
      <c r="U461" s="429"/>
      <c r="V461" s="429"/>
      <c r="AA461" t="s">
        <v>23</v>
      </c>
    </row>
    <row r="462" spans="8:27" ht="12.75">
      <c r="H462" s="232"/>
      <c r="I462" s="232"/>
      <c r="J462" s="232"/>
      <c r="K462" s="232"/>
      <c r="L462" s="232"/>
      <c r="M462" s="232"/>
      <c r="N462" s="232"/>
      <c r="O462" s="232"/>
      <c r="P462" s="429"/>
      <c r="Q462" s="429"/>
      <c r="R462" s="429"/>
      <c r="S462" s="429"/>
      <c r="T462" s="429"/>
      <c r="U462" s="429"/>
      <c r="V462" s="429"/>
      <c r="AA462" t="s">
        <v>256</v>
      </c>
    </row>
    <row r="463" spans="8:22" ht="12.75">
      <c r="H463" s="232"/>
      <c r="I463" s="232"/>
      <c r="J463" s="232"/>
      <c r="K463" s="232"/>
      <c r="L463" s="232"/>
      <c r="M463" s="232"/>
      <c r="N463" s="232"/>
      <c r="O463" s="232"/>
      <c r="P463" s="429"/>
      <c r="Q463" s="429"/>
      <c r="R463" s="429"/>
      <c r="S463" s="429"/>
      <c r="T463" s="429"/>
      <c r="U463" s="429"/>
      <c r="V463" s="429"/>
    </row>
    <row r="464" spans="8:27" ht="12.75">
      <c r="H464" s="232"/>
      <c r="I464" s="232"/>
      <c r="J464" s="232"/>
      <c r="K464" s="232"/>
      <c r="L464" s="232"/>
      <c r="M464" s="232"/>
      <c r="N464" s="232"/>
      <c r="O464" s="232"/>
      <c r="P464" s="429"/>
      <c r="Q464" s="429"/>
      <c r="R464" s="429"/>
      <c r="S464" s="429"/>
      <c r="T464" s="429"/>
      <c r="U464" s="429"/>
      <c r="V464" s="429"/>
      <c r="AA464" t="s">
        <v>284</v>
      </c>
    </row>
    <row r="465" spans="8:22" ht="12.75">
      <c r="H465" s="232"/>
      <c r="I465" s="232"/>
      <c r="J465" s="232"/>
      <c r="K465" s="232"/>
      <c r="L465" s="232"/>
      <c r="M465" s="232"/>
      <c r="N465" s="232"/>
      <c r="O465" s="232"/>
      <c r="P465" s="429"/>
      <c r="Q465" s="429"/>
      <c r="R465" s="429"/>
      <c r="S465" s="429"/>
      <c r="T465" s="429"/>
      <c r="U465" s="429"/>
      <c r="V465" s="429"/>
    </row>
    <row r="466" spans="8:22" ht="12.75">
      <c r="H466" s="232"/>
      <c r="I466" s="232"/>
      <c r="J466" s="232"/>
      <c r="K466" s="232"/>
      <c r="L466" s="232"/>
      <c r="M466" s="232"/>
      <c r="N466" s="232"/>
      <c r="O466" s="232"/>
      <c r="P466" s="429"/>
      <c r="Q466" s="429"/>
      <c r="R466" s="429"/>
      <c r="S466" s="429"/>
      <c r="T466" s="429"/>
      <c r="U466" s="429"/>
      <c r="V466" s="429"/>
    </row>
    <row r="467" spans="8:27" ht="12.75">
      <c r="H467" s="232"/>
      <c r="I467" s="232"/>
      <c r="J467" s="232"/>
      <c r="K467" s="232"/>
      <c r="L467" s="232"/>
      <c r="M467" s="232"/>
      <c r="N467" s="232"/>
      <c r="O467" s="232"/>
      <c r="P467" s="429"/>
      <c r="Q467" s="429"/>
      <c r="R467" s="429"/>
      <c r="S467" s="429"/>
      <c r="T467" s="429"/>
      <c r="U467" s="429"/>
      <c r="V467" s="429"/>
      <c r="AA467" t="s">
        <v>269</v>
      </c>
    </row>
    <row r="468" spans="8:27" ht="12.75">
      <c r="H468" s="232"/>
      <c r="I468" s="232"/>
      <c r="J468" s="232"/>
      <c r="K468" s="232"/>
      <c r="L468" s="232"/>
      <c r="M468" s="232"/>
      <c r="N468" s="232"/>
      <c r="O468" s="232"/>
      <c r="P468" s="429"/>
      <c r="Q468" s="429"/>
      <c r="R468" s="429"/>
      <c r="S468" s="429"/>
      <c r="T468" s="429"/>
      <c r="U468" s="429"/>
      <c r="V468" s="429"/>
      <c r="AA468" t="s">
        <v>279</v>
      </c>
    </row>
    <row r="469" spans="8:22" ht="12.75">
      <c r="H469" s="232"/>
      <c r="I469" s="232"/>
      <c r="J469" s="232"/>
      <c r="K469" s="232"/>
      <c r="L469" s="232"/>
      <c r="M469" s="232"/>
      <c r="N469" s="232"/>
      <c r="O469" s="232"/>
      <c r="P469" s="429"/>
      <c r="Q469" s="429"/>
      <c r="R469" s="429"/>
      <c r="S469" s="429"/>
      <c r="T469" s="429"/>
      <c r="U469" s="429"/>
      <c r="V469" s="429"/>
    </row>
    <row r="470" spans="8:22" ht="12.75">
      <c r="H470" s="232"/>
      <c r="I470" s="232"/>
      <c r="J470" s="232"/>
      <c r="K470" s="232"/>
      <c r="L470" s="232"/>
      <c r="M470" s="232"/>
      <c r="N470" s="232"/>
      <c r="O470" s="232"/>
      <c r="P470" s="429"/>
      <c r="Q470" s="429"/>
      <c r="R470" s="429"/>
      <c r="S470" s="429"/>
      <c r="T470" s="429"/>
      <c r="U470" s="429"/>
      <c r="V470" s="429"/>
    </row>
    <row r="471" spans="8:27" ht="12.75">
      <c r="H471" s="232"/>
      <c r="I471" s="232"/>
      <c r="J471" s="232"/>
      <c r="K471" s="232"/>
      <c r="L471" s="232"/>
      <c r="M471" s="232"/>
      <c r="N471" s="232"/>
      <c r="O471" s="232"/>
      <c r="P471" s="429"/>
      <c r="Q471" s="429"/>
      <c r="R471" s="429"/>
      <c r="S471" s="429"/>
      <c r="T471" s="429"/>
      <c r="U471" s="429"/>
      <c r="V471" s="429"/>
      <c r="AA471" t="s">
        <v>281</v>
      </c>
    </row>
    <row r="472" spans="8:22" ht="12.75">
      <c r="H472" s="232"/>
      <c r="I472" s="232"/>
      <c r="J472" s="232"/>
      <c r="K472" s="232"/>
      <c r="L472" s="232"/>
      <c r="M472" s="232"/>
      <c r="N472" s="232"/>
      <c r="O472" s="232"/>
      <c r="P472" s="429"/>
      <c r="Q472" s="429"/>
      <c r="R472" s="429"/>
      <c r="S472" s="429"/>
      <c r="T472" s="429"/>
      <c r="U472" s="429"/>
      <c r="V472" s="429"/>
    </row>
    <row r="473" spans="8:27" ht="12.75">
      <c r="H473" s="232"/>
      <c r="I473" s="232"/>
      <c r="J473" s="232"/>
      <c r="K473" s="232"/>
      <c r="L473" s="232"/>
      <c r="M473" s="232"/>
      <c r="N473" s="232"/>
      <c r="O473" s="232"/>
      <c r="P473" s="429"/>
      <c r="Q473" s="429"/>
      <c r="R473" s="429"/>
      <c r="S473" s="429"/>
      <c r="T473" s="429"/>
      <c r="U473" s="429"/>
      <c r="V473" s="429"/>
      <c r="AA473" t="s">
        <v>269</v>
      </c>
    </row>
    <row r="474" spans="8:27" ht="12.75">
      <c r="H474" s="232"/>
      <c r="I474" s="232"/>
      <c r="J474" s="232"/>
      <c r="K474" s="232"/>
      <c r="L474" s="232"/>
      <c r="M474" s="232"/>
      <c r="N474" s="232"/>
      <c r="O474" s="232"/>
      <c r="P474" s="429"/>
      <c r="Q474" s="429"/>
      <c r="R474" s="429"/>
      <c r="S474" s="429"/>
      <c r="T474" s="429"/>
      <c r="U474" s="429"/>
      <c r="V474" s="429"/>
      <c r="AA474" t="s">
        <v>279</v>
      </c>
    </row>
    <row r="475" spans="8:22" ht="12.75">
      <c r="H475" s="232"/>
      <c r="I475" s="232"/>
      <c r="J475" s="232"/>
      <c r="K475" s="232"/>
      <c r="L475" s="232"/>
      <c r="M475" s="232"/>
      <c r="N475" s="232"/>
      <c r="O475" s="232"/>
      <c r="P475" s="429"/>
      <c r="Q475" s="429"/>
      <c r="R475" s="429"/>
      <c r="S475" s="429"/>
      <c r="T475" s="429"/>
      <c r="U475" s="429"/>
      <c r="V475" s="429"/>
    </row>
    <row r="476" spans="8:27" ht="12.75">
      <c r="H476" s="232"/>
      <c r="I476" s="232"/>
      <c r="J476" s="232"/>
      <c r="K476" s="232"/>
      <c r="L476" s="232"/>
      <c r="M476" s="232"/>
      <c r="N476" s="232"/>
      <c r="O476" s="232"/>
      <c r="P476" s="429"/>
      <c r="Q476" s="429"/>
      <c r="R476" s="429"/>
      <c r="S476" s="429"/>
      <c r="T476" s="429"/>
      <c r="U476" s="429"/>
      <c r="V476" s="429"/>
      <c r="AA476" t="s">
        <v>284</v>
      </c>
    </row>
    <row r="477" spans="8:27" ht="12.75">
      <c r="H477" s="232"/>
      <c r="I477" s="232"/>
      <c r="J477" s="232"/>
      <c r="K477" s="232"/>
      <c r="L477" s="232"/>
      <c r="M477" s="232"/>
      <c r="N477" s="232"/>
      <c r="O477" s="232"/>
      <c r="P477" s="429"/>
      <c r="Q477" s="429"/>
      <c r="R477" s="429"/>
      <c r="S477" s="429"/>
      <c r="T477" s="429"/>
      <c r="U477" s="429"/>
      <c r="V477" s="429"/>
      <c r="AA477" t="s">
        <v>278</v>
      </c>
    </row>
    <row r="478" spans="8:22" ht="12.75">
      <c r="H478" s="232"/>
      <c r="I478" s="232"/>
      <c r="J478" s="232"/>
      <c r="K478" s="232"/>
      <c r="L478" s="232"/>
      <c r="M478" s="414"/>
      <c r="N478" s="423"/>
      <c r="O478" s="232"/>
      <c r="P478" s="426"/>
      <c r="Q478" s="426"/>
      <c r="R478" s="426"/>
      <c r="S478" s="426"/>
      <c r="T478" s="429"/>
      <c r="U478" s="426"/>
      <c r="V478" s="426"/>
    </row>
    <row r="479" spans="8:27" ht="12.75">
      <c r="H479" s="232"/>
      <c r="I479" s="232"/>
      <c r="J479" s="232"/>
      <c r="K479" s="232"/>
      <c r="L479" s="232"/>
      <c r="M479" s="414"/>
      <c r="N479" s="423"/>
      <c r="O479" s="232"/>
      <c r="P479" s="426"/>
      <c r="Q479" s="426"/>
      <c r="R479" s="426"/>
      <c r="S479" s="426"/>
      <c r="T479" s="429"/>
      <c r="U479" s="426"/>
      <c r="V479" s="426"/>
      <c r="AA479" t="s">
        <v>286</v>
      </c>
    </row>
    <row r="480" spans="8:27" ht="12.75">
      <c r="H480" s="232"/>
      <c r="I480" s="232"/>
      <c r="J480" s="232"/>
      <c r="K480" s="232"/>
      <c r="L480" s="232"/>
      <c r="M480" s="414"/>
      <c r="N480" s="423"/>
      <c r="O480" s="232"/>
      <c r="P480" s="426"/>
      <c r="Q480" s="426"/>
      <c r="R480" s="426"/>
      <c r="S480" s="426"/>
      <c r="T480" s="429"/>
      <c r="U480" s="426"/>
      <c r="V480" s="426"/>
      <c r="AA480" t="s">
        <v>256</v>
      </c>
    </row>
    <row r="481" spans="8:22" ht="12.75">
      <c r="H481" s="232"/>
      <c r="I481" s="232"/>
      <c r="J481" s="232"/>
      <c r="K481" s="232"/>
      <c r="L481" s="232"/>
      <c r="M481" s="414"/>
      <c r="N481" s="423"/>
      <c r="O481" s="232"/>
      <c r="P481" s="426"/>
      <c r="Q481" s="426"/>
      <c r="R481" s="426"/>
      <c r="S481" s="426"/>
      <c r="T481" s="429"/>
      <c r="U481" s="426"/>
      <c r="V481" s="426"/>
    </row>
    <row r="482" spans="8:22" ht="12.75">
      <c r="H482" s="232"/>
      <c r="I482" s="232"/>
      <c r="J482" s="232"/>
      <c r="K482" s="232"/>
      <c r="L482" s="232"/>
      <c r="M482" s="414"/>
      <c r="N482" s="423"/>
      <c r="O482" s="232"/>
      <c r="P482" s="426"/>
      <c r="Q482" s="426"/>
      <c r="R482" s="426"/>
      <c r="S482" s="426"/>
      <c r="T482" s="429"/>
      <c r="U482" s="426"/>
      <c r="V482" s="426"/>
    </row>
    <row r="483" spans="8:27" ht="12.75">
      <c r="H483" s="232"/>
      <c r="I483" s="232"/>
      <c r="J483" s="232"/>
      <c r="K483" s="232"/>
      <c r="L483" s="232"/>
      <c r="M483" s="414"/>
      <c r="N483" s="423"/>
      <c r="O483" s="232"/>
      <c r="P483" s="426"/>
      <c r="Q483" s="426"/>
      <c r="R483" s="426"/>
      <c r="S483" s="426"/>
      <c r="T483" s="429"/>
      <c r="U483" s="426"/>
      <c r="V483" s="426"/>
      <c r="AA483" t="s">
        <v>282</v>
      </c>
    </row>
    <row r="484" spans="8:22" ht="12.75">
      <c r="H484" s="232"/>
      <c r="I484" s="232"/>
      <c r="J484" s="232"/>
      <c r="K484" s="232"/>
      <c r="L484" s="232"/>
      <c r="M484" s="414"/>
      <c r="N484" s="423"/>
      <c r="O484" s="232"/>
      <c r="P484" s="426"/>
      <c r="Q484" s="426"/>
      <c r="R484" s="426"/>
      <c r="S484" s="426"/>
      <c r="T484" s="429"/>
      <c r="U484" s="426"/>
      <c r="V484" s="426"/>
    </row>
    <row r="485" spans="8:22" ht="12.75">
      <c r="H485" s="232"/>
      <c r="I485" s="232"/>
      <c r="J485" s="232"/>
      <c r="K485" s="232"/>
      <c r="L485" s="232"/>
      <c r="M485" s="414"/>
      <c r="N485" s="423"/>
      <c r="O485" s="232"/>
      <c r="P485" s="426"/>
      <c r="Q485" s="426"/>
      <c r="R485" s="426"/>
      <c r="S485" s="426"/>
      <c r="T485" s="429"/>
      <c r="U485" s="426"/>
      <c r="V485" s="426"/>
    </row>
    <row r="486" spans="8:27" ht="12.75">
      <c r="H486" s="232"/>
      <c r="I486" s="232"/>
      <c r="J486" s="232"/>
      <c r="K486" s="232"/>
      <c r="L486" s="232"/>
      <c r="M486" s="414"/>
      <c r="N486" s="423"/>
      <c r="O486" s="232"/>
      <c r="P486" s="426"/>
      <c r="Q486" s="426"/>
      <c r="R486" s="426"/>
      <c r="S486" s="426"/>
      <c r="T486" s="429"/>
      <c r="U486" s="426"/>
      <c r="V486" s="426"/>
      <c r="AA486" t="s">
        <v>257</v>
      </c>
    </row>
    <row r="487" spans="8:22" ht="12.75">
      <c r="H487" s="232"/>
      <c r="I487" s="232"/>
      <c r="J487" s="232"/>
      <c r="K487" s="232"/>
      <c r="L487" s="232"/>
      <c r="M487" s="414"/>
      <c r="N487" s="423"/>
      <c r="O487" s="232"/>
      <c r="P487" s="426"/>
      <c r="Q487" s="426"/>
      <c r="R487" s="426"/>
      <c r="S487" s="426"/>
      <c r="T487" s="429"/>
      <c r="U487" s="426"/>
      <c r="V487" s="426"/>
    </row>
    <row r="488" spans="8:22" ht="12.75">
      <c r="H488" s="232"/>
      <c r="I488" s="232"/>
      <c r="J488" s="232"/>
      <c r="K488" s="232"/>
      <c r="L488" s="232"/>
      <c r="M488" s="414"/>
      <c r="N488" s="423"/>
      <c r="O488" s="232"/>
      <c r="P488" s="426"/>
      <c r="Q488" s="426"/>
      <c r="R488" s="426"/>
      <c r="S488" s="426"/>
      <c r="T488" s="429"/>
      <c r="U488" s="426"/>
      <c r="V488" s="426"/>
    </row>
    <row r="489" spans="8:27" ht="12.75">
      <c r="H489" s="232"/>
      <c r="I489" s="232"/>
      <c r="J489" s="232"/>
      <c r="K489" s="232"/>
      <c r="L489" s="232"/>
      <c r="M489" s="414"/>
      <c r="N489" s="423"/>
      <c r="O489" s="232"/>
      <c r="P489" s="426"/>
      <c r="Q489" s="426"/>
      <c r="R489" s="426"/>
      <c r="S489" s="426"/>
      <c r="T489" s="429"/>
      <c r="U489" s="426"/>
      <c r="V489" s="426"/>
      <c r="AA489" t="s">
        <v>282</v>
      </c>
    </row>
    <row r="490" spans="8:22" ht="12.75">
      <c r="H490" s="232"/>
      <c r="I490" s="232"/>
      <c r="J490" s="232"/>
      <c r="K490" s="232"/>
      <c r="L490" s="232"/>
      <c r="M490" s="414"/>
      <c r="N490" s="423"/>
      <c r="O490" s="232"/>
      <c r="P490" s="426"/>
      <c r="Q490" s="426"/>
      <c r="R490" s="426"/>
      <c r="S490" s="426"/>
      <c r="T490" s="429"/>
      <c r="U490" s="426"/>
      <c r="V490" s="426"/>
    </row>
    <row r="491" spans="8:22" ht="12.75">
      <c r="H491" s="232"/>
      <c r="I491" s="232"/>
      <c r="J491" s="232"/>
      <c r="K491" s="232"/>
      <c r="L491" s="232"/>
      <c r="M491" s="414"/>
      <c r="N491" s="423"/>
      <c r="O491" s="232"/>
      <c r="P491" s="426"/>
      <c r="Q491" s="426"/>
      <c r="R491" s="426"/>
      <c r="S491" s="426"/>
      <c r="T491" s="429"/>
      <c r="U491" s="426"/>
      <c r="V491" s="426"/>
    </row>
    <row r="492" spans="8:27" ht="12.75">
      <c r="H492" s="232"/>
      <c r="I492" s="232"/>
      <c r="J492" s="232"/>
      <c r="K492" s="232"/>
      <c r="L492" s="232"/>
      <c r="M492" s="414"/>
      <c r="N492" s="423"/>
      <c r="O492" s="232"/>
      <c r="P492" s="426"/>
      <c r="Q492" s="426"/>
      <c r="R492" s="426"/>
      <c r="S492" s="426"/>
      <c r="T492" s="429"/>
      <c r="U492" s="426"/>
      <c r="V492" s="426"/>
      <c r="AA492" t="s">
        <v>257</v>
      </c>
    </row>
    <row r="493" spans="8:22" ht="12.75">
      <c r="H493" s="232"/>
      <c r="I493" s="232"/>
      <c r="J493" s="232"/>
      <c r="K493" s="232"/>
      <c r="L493" s="232"/>
      <c r="M493" s="414"/>
      <c r="N493" s="423"/>
      <c r="O493" s="232"/>
      <c r="P493" s="426"/>
      <c r="Q493" s="426"/>
      <c r="R493" s="426"/>
      <c r="S493" s="426"/>
      <c r="T493" s="429"/>
      <c r="U493" s="426"/>
      <c r="V493" s="426"/>
    </row>
    <row r="494" spans="8:27" ht="12.75">
      <c r="H494" s="232"/>
      <c r="I494" s="232"/>
      <c r="J494" s="232"/>
      <c r="K494" s="232"/>
      <c r="L494" s="232"/>
      <c r="M494" s="414"/>
      <c r="N494" s="423"/>
      <c r="O494" s="232"/>
      <c r="P494" s="426"/>
      <c r="Q494" s="426"/>
      <c r="R494" s="426"/>
      <c r="S494" s="426"/>
      <c r="T494" s="429"/>
      <c r="U494" s="426"/>
      <c r="V494" s="426"/>
      <c r="AA494" t="s">
        <v>266</v>
      </c>
    </row>
    <row r="495" spans="8:27" ht="12.75">
      <c r="H495" s="232"/>
      <c r="I495" s="232"/>
      <c r="J495" s="232"/>
      <c r="K495" s="232"/>
      <c r="L495" s="232"/>
      <c r="M495" s="232"/>
      <c r="N495" s="232"/>
      <c r="O495" s="232"/>
      <c r="P495" s="429"/>
      <c r="Q495" s="429"/>
      <c r="R495" s="429"/>
      <c r="S495" s="429"/>
      <c r="T495" s="429"/>
      <c r="U495" s="429"/>
      <c r="V495" s="429"/>
      <c r="AA495" t="s">
        <v>258</v>
      </c>
    </row>
    <row r="496" spans="8:22" ht="12.75">
      <c r="H496" s="232"/>
      <c r="I496" s="232"/>
      <c r="J496" s="232"/>
      <c r="K496" s="232"/>
      <c r="L496" s="232"/>
      <c r="M496" s="232"/>
      <c r="N496" s="232"/>
      <c r="O496" s="232"/>
      <c r="P496" s="429"/>
      <c r="Q496" s="429"/>
      <c r="R496" s="429"/>
      <c r="S496" s="429"/>
      <c r="T496" s="429"/>
      <c r="U496" s="429"/>
      <c r="V496" s="429"/>
    </row>
    <row r="497" spans="8:27" ht="12.75">
      <c r="H497" s="232"/>
      <c r="I497" s="232"/>
      <c r="J497" s="232"/>
      <c r="K497" s="232"/>
      <c r="L497" s="232"/>
      <c r="M497" s="232"/>
      <c r="N497" s="232"/>
      <c r="O497" s="232"/>
      <c r="P497" s="429"/>
      <c r="Q497" s="429"/>
      <c r="R497" s="429"/>
      <c r="S497" s="429"/>
      <c r="T497" s="429"/>
      <c r="U497" s="429"/>
      <c r="V497" s="429"/>
      <c r="AA497" t="s">
        <v>286</v>
      </c>
    </row>
    <row r="498" spans="8:22" ht="12.75">
      <c r="H498" s="232"/>
      <c r="I498" s="232"/>
      <c r="J498" s="232"/>
      <c r="K498" s="232"/>
      <c r="L498" s="232"/>
      <c r="M498" s="232"/>
      <c r="N498" s="232"/>
      <c r="O498" s="232"/>
      <c r="P498" s="429"/>
      <c r="Q498" s="429"/>
      <c r="R498" s="429"/>
      <c r="S498" s="429"/>
      <c r="T498" s="429"/>
      <c r="U498" s="429"/>
      <c r="V498" s="429"/>
    </row>
    <row r="499" spans="8:22" ht="12.75">
      <c r="H499" s="232"/>
      <c r="I499" s="232"/>
      <c r="J499" s="232"/>
      <c r="K499" s="232"/>
      <c r="L499" s="232"/>
      <c r="M499" s="232"/>
      <c r="N499" s="232"/>
      <c r="O499" s="232"/>
      <c r="P499" s="429"/>
      <c r="Q499" s="429"/>
      <c r="R499" s="429"/>
      <c r="S499" s="429"/>
      <c r="T499" s="429"/>
      <c r="U499" s="429"/>
      <c r="V499" s="429"/>
    </row>
    <row r="500" spans="8:27" ht="12.75">
      <c r="H500" s="232"/>
      <c r="I500" s="232"/>
      <c r="J500" s="232"/>
      <c r="K500" s="232"/>
      <c r="L500" s="232"/>
      <c r="M500" s="232"/>
      <c r="N500" s="232"/>
      <c r="O500" s="232"/>
      <c r="P500" s="429"/>
      <c r="Q500" s="429"/>
      <c r="R500" s="429"/>
      <c r="S500" s="429"/>
      <c r="T500" s="429"/>
      <c r="U500" s="429"/>
      <c r="V500" s="429"/>
      <c r="AA500" t="s">
        <v>271</v>
      </c>
    </row>
    <row r="501" spans="8:22" ht="12.75">
      <c r="H501" s="232"/>
      <c r="I501" s="232"/>
      <c r="J501" s="232"/>
      <c r="K501" s="232"/>
      <c r="L501" s="232"/>
      <c r="M501" s="232"/>
      <c r="N501" s="232"/>
      <c r="O501" s="232"/>
      <c r="P501" s="429"/>
      <c r="Q501" s="429"/>
      <c r="R501" s="429"/>
      <c r="S501" s="429"/>
      <c r="T501" s="429"/>
      <c r="U501" s="429"/>
      <c r="V501" s="429"/>
    </row>
    <row r="502" spans="8:22" ht="12.75">
      <c r="H502" s="232"/>
      <c r="I502" s="232"/>
      <c r="J502" s="232"/>
      <c r="K502" s="232"/>
      <c r="L502" s="232"/>
      <c r="M502" s="232"/>
      <c r="N502" s="232"/>
      <c r="O502" s="232"/>
      <c r="P502" s="429"/>
      <c r="Q502" s="429"/>
      <c r="R502" s="429"/>
      <c r="S502" s="429"/>
      <c r="T502" s="429"/>
      <c r="U502" s="429"/>
      <c r="V502" s="429"/>
    </row>
    <row r="503" spans="8:22" ht="12.75">
      <c r="H503" s="232"/>
      <c r="I503" s="232"/>
      <c r="J503" s="232"/>
      <c r="K503" s="232"/>
      <c r="L503" s="232"/>
      <c r="M503" s="232"/>
      <c r="N503" s="232"/>
      <c r="O503" s="232"/>
      <c r="P503" s="429"/>
      <c r="Q503" s="429"/>
      <c r="R503" s="429"/>
      <c r="S503" s="429"/>
      <c r="T503" s="429"/>
      <c r="U503" s="429"/>
      <c r="V503" s="429"/>
    </row>
    <row r="504" spans="8:22" ht="12.75">
      <c r="H504" s="232"/>
      <c r="I504" s="232"/>
      <c r="J504" s="232"/>
      <c r="K504" s="232"/>
      <c r="L504" s="232"/>
      <c r="M504" s="232"/>
      <c r="N504" s="232"/>
      <c r="O504" s="232"/>
      <c r="P504" s="429"/>
      <c r="Q504" s="429"/>
      <c r="R504" s="429"/>
      <c r="S504" s="429"/>
      <c r="T504" s="429"/>
      <c r="U504" s="429"/>
      <c r="V504" s="429"/>
    </row>
    <row r="505" spans="8:22" ht="12.75">
      <c r="H505" s="232"/>
      <c r="I505" s="232"/>
      <c r="J505" s="232"/>
      <c r="K505" s="232"/>
      <c r="L505" s="232"/>
      <c r="M505" s="232"/>
      <c r="N505" s="232"/>
      <c r="O505" s="232"/>
      <c r="P505" s="429"/>
      <c r="Q505" s="429"/>
      <c r="R505" s="429"/>
      <c r="S505" s="429"/>
      <c r="T505" s="429"/>
      <c r="U505" s="429"/>
      <c r="V505" s="429"/>
    </row>
    <row r="506" spans="8:27" ht="12.75">
      <c r="H506" s="232"/>
      <c r="I506" s="232"/>
      <c r="J506" s="232"/>
      <c r="K506" s="232"/>
      <c r="L506" s="232"/>
      <c r="M506" s="232"/>
      <c r="N506" s="232"/>
      <c r="O506" s="232"/>
      <c r="P506" s="429"/>
      <c r="Q506" s="429"/>
      <c r="R506" s="429"/>
      <c r="S506" s="429"/>
      <c r="T506" s="429"/>
      <c r="U506" s="429"/>
      <c r="V506" s="429"/>
      <c r="AA506" t="s">
        <v>271</v>
      </c>
    </row>
    <row r="507" spans="8:22" ht="12.75">
      <c r="H507" s="232"/>
      <c r="I507" s="232"/>
      <c r="J507" s="232"/>
      <c r="K507" s="232"/>
      <c r="L507" s="232"/>
      <c r="M507" s="232"/>
      <c r="N507" s="232"/>
      <c r="O507" s="232"/>
      <c r="P507" s="429"/>
      <c r="Q507" s="429"/>
      <c r="R507" s="429"/>
      <c r="S507" s="429"/>
      <c r="T507" s="429"/>
      <c r="U507" s="429"/>
      <c r="V507" s="429"/>
    </row>
    <row r="508" spans="8:22" ht="12.75">
      <c r="H508" s="232"/>
      <c r="I508" s="232"/>
      <c r="J508" s="232"/>
      <c r="K508" s="232"/>
      <c r="L508" s="232"/>
      <c r="M508" s="232"/>
      <c r="N508" s="232"/>
      <c r="O508" s="232"/>
      <c r="P508" s="429"/>
      <c r="Q508" s="429"/>
      <c r="R508" s="429"/>
      <c r="S508" s="429"/>
      <c r="T508" s="429"/>
      <c r="U508" s="429"/>
      <c r="V508" s="429"/>
    </row>
    <row r="509" spans="8:27" ht="12.75">
      <c r="H509" s="232"/>
      <c r="I509" s="232"/>
      <c r="J509" s="232"/>
      <c r="K509" s="232"/>
      <c r="L509" s="232"/>
      <c r="M509" s="232"/>
      <c r="N509" s="232"/>
      <c r="O509" s="232"/>
      <c r="P509" s="429"/>
      <c r="Q509" s="429"/>
      <c r="R509" s="429"/>
      <c r="S509" s="429"/>
      <c r="T509" s="429"/>
      <c r="U509" s="429"/>
      <c r="V509" s="429"/>
      <c r="AA509" t="s">
        <v>286</v>
      </c>
    </row>
    <row r="510" spans="8:27" ht="12.75">
      <c r="H510" s="232"/>
      <c r="I510" s="232"/>
      <c r="J510" s="232"/>
      <c r="K510" s="232"/>
      <c r="L510" s="232"/>
      <c r="M510" s="232"/>
      <c r="N510" s="232"/>
      <c r="O510" s="232"/>
      <c r="P510" s="429"/>
      <c r="Q510" s="429"/>
      <c r="R510" s="429"/>
      <c r="S510" s="429"/>
      <c r="T510" s="429"/>
      <c r="U510" s="429"/>
      <c r="V510" s="429"/>
      <c r="AA510" t="s">
        <v>279</v>
      </c>
    </row>
    <row r="511" spans="8:22" ht="12.75">
      <c r="H511" s="232"/>
      <c r="I511" s="232"/>
      <c r="J511" s="232"/>
      <c r="K511" s="232"/>
      <c r="L511" s="232"/>
      <c r="M511" s="232"/>
      <c r="N511" s="232"/>
      <c r="O511" s="232"/>
      <c r="P511" s="429"/>
      <c r="Q511" s="429"/>
      <c r="R511" s="429"/>
      <c r="S511" s="429"/>
      <c r="T511" s="429"/>
      <c r="U511" s="429"/>
      <c r="V511" s="429"/>
    </row>
    <row r="512" spans="8:22" ht="12.75">
      <c r="H512" s="232"/>
      <c r="I512" s="232"/>
      <c r="J512" s="232"/>
      <c r="K512" s="232"/>
      <c r="L512" s="232"/>
      <c r="M512" s="232"/>
      <c r="N512" s="232"/>
      <c r="O512" s="232"/>
      <c r="P512" s="429"/>
      <c r="Q512" s="429"/>
      <c r="R512" s="429"/>
      <c r="S512" s="429"/>
      <c r="T512" s="429"/>
      <c r="U512" s="429"/>
      <c r="V512" s="429"/>
    </row>
    <row r="513" spans="8:27" ht="12.75">
      <c r="H513" s="232"/>
      <c r="I513" s="232"/>
      <c r="J513" s="232"/>
      <c r="K513" s="232"/>
      <c r="L513" s="232"/>
      <c r="M513" s="232"/>
      <c r="N513" s="232"/>
      <c r="O513" s="232"/>
      <c r="P513" s="429"/>
      <c r="Q513" s="429"/>
      <c r="R513" s="429"/>
      <c r="S513" s="429"/>
      <c r="T513" s="429"/>
      <c r="U513" s="429"/>
      <c r="V513" s="429"/>
      <c r="AA513" t="s">
        <v>258</v>
      </c>
    </row>
    <row r="514" spans="8:22" ht="12.75">
      <c r="H514" s="232"/>
      <c r="I514" s="232"/>
      <c r="J514" s="232"/>
      <c r="K514" s="232"/>
      <c r="L514" s="232"/>
      <c r="M514" s="232"/>
      <c r="N514" s="232"/>
      <c r="O514" s="232"/>
      <c r="P514" s="429"/>
      <c r="Q514" s="429"/>
      <c r="R514" s="429"/>
      <c r="S514" s="429"/>
      <c r="T514" s="429"/>
      <c r="U514" s="429"/>
      <c r="V514" s="429"/>
    </row>
    <row r="515" spans="8:22" ht="12.75">
      <c r="H515" s="232"/>
      <c r="I515" s="232"/>
      <c r="J515" s="232"/>
      <c r="K515" s="232"/>
      <c r="L515" s="232"/>
      <c r="M515" s="232"/>
      <c r="N515" s="232"/>
      <c r="O515" s="232"/>
      <c r="P515" s="429"/>
      <c r="Q515" s="429"/>
      <c r="R515" s="429"/>
      <c r="S515" s="429"/>
      <c r="T515" s="429"/>
      <c r="U515" s="429"/>
      <c r="V515" s="429"/>
    </row>
    <row r="516" spans="8:27" ht="12.75">
      <c r="H516" s="232"/>
      <c r="I516" s="232"/>
      <c r="J516" s="232"/>
      <c r="K516" s="232"/>
      <c r="L516" s="232"/>
      <c r="M516" s="232"/>
      <c r="N516" s="232"/>
      <c r="O516" s="232"/>
      <c r="P516" s="429"/>
      <c r="Q516" s="429"/>
      <c r="R516" s="429"/>
      <c r="S516" s="429"/>
      <c r="T516" s="429"/>
      <c r="U516" s="429"/>
      <c r="V516" s="429"/>
      <c r="AA516" t="s">
        <v>281</v>
      </c>
    </row>
    <row r="517" spans="8:22" ht="12.75">
      <c r="H517" s="232"/>
      <c r="I517" s="232"/>
      <c r="J517" s="232"/>
      <c r="K517" s="232"/>
      <c r="L517" s="232"/>
      <c r="M517" s="232"/>
      <c r="N517" s="232"/>
      <c r="O517" s="232"/>
      <c r="P517" s="429"/>
      <c r="Q517" s="429"/>
      <c r="R517" s="429"/>
      <c r="S517" s="429"/>
      <c r="T517" s="429"/>
      <c r="U517" s="429"/>
      <c r="V517" s="429"/>
    </row>
    <row r="518" spans="8:22" ht="12.75">
      <c r="H518" s="232"/>
      <c r="I518" s="232"/>
      <c r="J518" s="232"/>
      <c r="K518" s="232"/>
      <c r="L518" s="232"/>
      <c r="M518" s="232"/>
      <c r="N518" s="232"/>
      <c r="O518" s="232"/>
      <c r="P518" s="429"/>
      <c r="Q518" s="429"/>
      <c r="R518" s="429"/>
      <c r="S518" s="429"/>
      <c r="T518" s="429"/>
      <c r="U518" s="429"/>
      <c r="V518" s="429"/>
    </row>
    <row r="519" spans="8:27" ht="12.75">
      <c r="H519" s="232"/>
      <c r="I519" s="232"/>
      <c r="J519" s="232"/>
      <c r="K519" s="232"/>
      <c r="L519" s="232"/>
      <c r="M519" s="232"/>
      <c r="N519" s="232"/>
      <c r="O519" s="232"/>
      <c r="P519" s="429"/>
      <c r="Q519" s="429"/>
      <c r="R519" s="429"/>
      <c r="S519" s="429"/>
      <c r="T519" s="429"/>
      <c r="U519" s="429"/>
      <c r="V519" s="429"/>
      <c r="AA519" t="s">
        <v>260</v>
      </c>
    </row>
    <row r="520" spans="8:22" ht="12.75">
      <c r="H520" s="232"/>
      <c r="I520" s="232"/>
      <c r="J520" s="232"/>
      <c r="K520" s="232"/>
      <c r="L520" s="232"/>
      <c r="M520" s="232"/>
      <c r="N520" s="232"/>
      <c r="O520" s="232"/>
      <c r="P520" s="429"/>
      <c r="Q520" s="429"/>
      <c r="R520" s="429"/>
      <c r="S520" s="429"/>
      <c r="T520" s="429"/>
      <c r="U520" s="429"/>
      <c r="V520" s="429"/>
    </row>
    <row r="521" spans="8:22" ht="12.75">
      <c r="H521" s="232"/>
      <c r="I521" s="232"/>
      <c r="J521" s="232"/>
      <c r="K521" s="232"/>
      <c r="L521" s="232"/>
      <c r="M521" s="232"/>
      <c r="N521" s="232"/>
      <c r="O521" s="232"/>
      <c r="P521" s="429"/>
      <c r="Q521" s="429"/>
      <c r="R521" s="429"/>
      <c r="S521" s="429"/>
      <c r="T521" s="429"/>
      <c r="U521" s="429"/>
      <c r="V521" s="429"/>
    </row>
    <row r="522" spans="8:27" ht="12.75">
      <c r="H522" s="232"/>
      <c r="I522" s="232"/>
      <c r="J522" s="232"/>
      <c r="K522" s="232"/>
      <c r="L522" s="232"/>
      <c r="M522" s="232"/>
      <c r="N522" s="232"/>
      <c r="O522" s="232"/>
      <c r="P522" s="429"/>
      <c r="Q522" s="429"/>
      <c r="R522" s="429"/>
      <c r="S522" s="429"/>
      <c r="T522" s="429"/>
      <c r="U522" s="429"/>
      <c r="V522" s="429"/>
      <c r="AA522" t="s">
        <v>281</v>
      </c>
    </row>
    <row r="523" spans="8:22" ht="12.75">
      <c r="H523" s="232"/>
      <c r="I523" s="232"/>
      <c r="J523" s="232"/>
      <c r="K523" s="232"/>
      <c r="L523" s="232"/>
      <c r="M523" s="232"/>
      <c r="N523" s="232"/>
      <c r="O523" s="232"/>
      <c r="P523" s="429"/>
      <c r="Q523" s="429"/>
      <c r="R523" s="429"/>
      <c r="S523" s="429"/>
      <c r="T523" s="429"/>
      <c r="U523" s="429"/>
      <c r="V523" s="429"/>
    </row>
    <row r="524" spans="8:22" ht="12.75">
      <c r="H524" s="232"/>
      <c r="I524" s="232"/>
      <c r="J524" s="232"/>
      <c r="K524" s="232"/>
      <c r="L524" s="232"/>
      <c r="M524" s="232"/>
      <c r="N524" s="232"/>
      <c r="O524" s="232"/>
      <c r="P524" s="429"/>
      <c r="Q524" s="429"/>
      <c r="R524" s="429"/>
      <c r="S524" s="429"/>
      <c r="T524" s="429"/>
      <c r="U524" s="429"/>
      <c r="V524" s="429"/>
    </row>
    <row r="525" spans="8:27" ht="12.75">
      <c r="H525" s="232"/>
      <c r="I525" s="232"/>
      <c r="J525" s="232"/>
      <c r="K525" s="232"/>
      <c r="L525" s="232"/>
      <c r="M525" s="232"/>
      <c r="N525" s="232"/>
      <c r="O525" s="232"/>
      <c r="P525" s="429"/>
      <c r="Q525" s="429"/>
      <c r="R525" s="429"/>
      <c r="S525" s="429"/>
      <c r="T525" s="429"/>
      <c r="U525" s="429"/>
      <c r="V525" s="429"/>
      <c r="AA525" t="s">
        <v>260</v>
      </c>
    </row>
    <row r="526" spans="8:22" ht="12.75">
      <c r="H526" s="232"/>
      <c r="I526" s="232"/>
      <c r="J526" s="232"/>
      <c r="K526" s="232"/>
      <c r="L526" s="232"/>
      <c r="M526" s="232"/>
      <c r="N526" s="232"/>
      <c r="O526" s="232"/>
      <c r="P526" s="429"/>
      <c r="Q526" s="429"/>
      <c r="R526" s="429"/>
      <c r="S526" s="429"/>
      <c r="T526" s="429"/>
      <c r="U526" s="429"/>
      <c r="V526" s="429"/>
    </row>
    <row r="527" spans="8:22" ht="12.75">
      <c r="H527" s="232"/>
      <c r="I527" s="232"/>
      <c r="J527" s="232"/>
      <c r="K527" s="232"/>
      <c r="L527" s="232"/>
      <c r="M527" s="232"/>
      <c r="N527" s="232"/>
      <c r="O527" s="232"/>
      <c r="P527" s="429"/>
      <c r="Q527" s="429"/>
      <c r="R527" s="429"/>
      <c r="S527" s="429"/>
      <c r="T527" s="429"/>
      <c r="U527" s="429"/>
      <c r="V527" s="429"/>
    </row>
    <row r="528" spans="8:22" ht="12.75">
      <c r="H528" s="232"/>
      <c r="I528" s="232"/>
      <c r="J528" s="232"/>
      <c r="K528" s="232"/>
      <c r="L528" s="232"/>
      <c r="M528" s="232"/>
      <c r="N528" s="232"/>
      <c r="O528" s="232"/>
      <c r="P528" s="429"/>
      <c r="Q528" s="429"/>
      <c r="R528" s="429"/>
      <c r="S528" s="429"/>
      <c r="T528" s="429"/>
      <c r="U528" s="429"/>
      <c r="V528" s="429"/>
    </row>
    <row r="529" spans="8:22" ht="12.75">
      <c r="H529" s="232"/>
      <c r="I529" s="232"/>
      <c r="J529" s="232"/>
      <c r="K529" s="232"/>
      <c r="L529" s="232"/>
      <c r="M529" s="232"/>
      <c r="N529" s="232"/>
      <c r="O529" s="232"/>
      <c r="P529" s="429"/>
      <c r="Q529" s="429"/>
      <c r="R529" s="429"/>
      <c r="S529" s="429"/>
      <c r="T529" s="429"/>
      <c r="U529" s="429"/>
      <c r="V529" s="429"/>
    </row>
    <row r="530" spans="8:22" ht="12.75">
      <c r="H530" s="232"/>
      <c r="I530" s="232"/>
      <c r="J530" s="232"/>
      <c r="K530" s="232"/>
      <c r="L530" s="232"/>
      <c r="M530" s="232"/>
      <c r="N530" s="232"/>
      <c r="O530" s="232"/>
      <c r="P530" s="429"/>
      <c r="Q530" s="429"/>
      <c r="R530" s="429"/>
      <c r="S530" s="429"/>
      <c r="T530" s="429"/>
      <c r="U530" s="429"/>
      <c r="V530" s="429"/>
    </row>
    <row r="531" spans="8:22" ht="12.75">
      <c r="H531" s="232"/>
      <c r="I531" s="232"/>
      <c r="J531" s="232"/>
      <c r="K531" s="232"/>
      <c r="L531" s="232"/>
      <c r="M531" s="232"/>
      <c r="N531" s="232"/>
      <c r="O531" s="232"/>
      <c r="P531" s="429"/>
      <c r="Q531" s="429"/>
      <c r="R531" s="429"/>
      <c r="S531" s="429"/>
      <c r="T531" s="429"/>
      <c r="U531" s="429"/>
      <c r="V531" s="429"/>
    </row>
    <row r="532" spans="8:22" ht="12.75">
      <c r="H532" s="232"/>
      <c r="I532" s="232"/>
      <c r="J532" s="232"/>
      <c r="K532" s="232"/>
      <c r="L532" s="232"/>
      <c r="M532" s="232"/>
      <c r="N532" s="232"/>
      <c r="O532" s="232"/>
      <c r="P532" s="429"/>
      <c r="Q532" s="429"/>
      <c r="R532" s="429"/>
      <c r="S532" s="429"/>
      <c r="T532" s="429"/>
      <c r="U532" s="429"/>
      <c r="V532" s="429"/>
    </row>
    <row r="533" spans="8:22" ht="12.75">
      <c r="H533" s="232"/>
      <c r="I533" s="232"/>
      <c r="J533" s="232"/>
      <c r="K533" s="232"/>
      <c r="L533" s="232"/>
      <c r="M533" s="232"/>
      <c r="N533" s="232"/>
      <c r="O533" s="232"/>
      <c r="P533" s="429"/>
      <c r="Q533" s="429"/>
      <c r="R533" s="429"/>
      <c r="S533" s="429"/>
      <c r="T533" s="429"/>
      <c r="U533" s="429"/>
      <c r="V533" s="429"/>
    </row>
    <row r="534" spans="8:22" ht="12.75">
      <c r="H534" s="232"/>
      <c r="I534" s="232"/>
      <c r="J534" s="232"/>
      <c r="K534" s="232"/>
      <c r="L534" s="232"/>
      <c r="M534" s="232"/>
      <c r="N534" s="232"/>
      <c r="O534" s="232"/>
      <c r="P534" s="429"/>
      <c r="Q534" s="429"/>
      <c r="R534" s="429"/>
      <c r="S534" s="429"/>
      <c r="T534" s="429"/>
      <c r="U534" s="429"/>
      <c r="V534" s="429"/>
    </row>
    <row r="535" spans="8:22" ht="12.75">
      <c r="H535" s="232"/>
      <c r="I535" s="232"/>
      <c r="J535" s="232"/>
      <c r="K535" s="232"/>
      <c r="L535" s="232"/>
      <c r="M535" s="232"/>
      <c r="N535" s="232"/>
      <c r="O535" s="232"/>
      <c r="P535" s="429"/>
      <c r="Q535" s="429"/>
      <c r="R535" s="429"/>
      <c r="S535" s="429"/>
      <c r="T535" s="429"/>
      <c r="U535" s="429"/>
      <c r="V535" s="429"/>
    </row>
    <row r="536" spans="8:22" ht="12.75">
      <c r="H536" s="232"/>
      <c r="I536" s="232"/>
      <c r="J536" s="232"/>
      <c r="K536" s="232"/>
      <c r="L536" s="232"/>
      <c r="M536" s="232"/>
      <c r="N536" s="232"/>
      <c r="O536" s="232"/>
      <c r="P536" s="429"/>
      <c r="Q536" s="429"/>
      <c r="R536" s="429"/>
      <c r="S536" s="429"/>
      <c r="T536" s="429"/>
      <c r="U536" s="429"/>
      <c r="V536" s="429"/>
    </row>
    <row r="537" spans="8:22" ht="12.75">
      <c r="H537" s="232"/>
      <c r="I537" s="232"/>
      <c r="J537" s="232"/>
      <c r="K537" s="232"/>
      <c r="L537" s="232"/>
      <c r="M537" s="232"/>
      <c r="N537" s="232"/>
      <c r="O537" s="232"/>
      <c r="P537" s="429"/>
      <c r="Q537" s="429"/>
      <c r="R537" s="429"/>
      <c r="S537" s="429"/>
      <c r="T537" s="429"/>
      <c r="U537" s="429"/>
      <c r="V537" s="429"/>
    </row>
    <row r="538" spans="8:22" ht="12.75">
      <c r="H538" s="232"/>
      <c r="I538" s="232"/>
      <c r="J538" s="232"/>
      <c r="K538" s="232"/>
      <c r="L538" s="232"/>
      <c r="M538" s="232"/>
      <c r="N538" s="232"/>
      <c r="O538" s="232"/>
      <c r="P538" s="429"/>
      <c r="Q538" s="429"/>
      <c r="R538" s="429"/>
      <c r="S538" s="429"/>
      <c r="T538" s="429"/>
      <c r="U538" s="429"/>
      <c r="V538" s="429"/>
    </row>
    <row r="539" spans="8:27" ht="12.75">
      <c r="H539" s="232"/>
      <c r="I539" s="232"/>
      <c r="J539" s="232"/>
      <c r="K539" s="232"/>
      <c r="L539" s="232"/>
      <c r="M539" s="232"/>
      <c r="N539" s="232"/>
      <c r="O539" s="232"/>
      <c r="P539" s="429"/>
      <c r="Q539" s="429"/>
      <c r="R539" s="429"/>
      <c r="S539" s="429"/>
      <c r="T539" s="429"/>
      <c r="U539" s="429"/>
      <c r="V539" s="429"/>
      <c r="AA539" t="s">
        <v>272</v>
      </c>
    </row>
    <row r="540" spans="8:22" ht="12.75">
      <c r="H540" s="232"/>
      <c r="I540" s="232"/>
      <c r="J540" s="232"/>
      <c r="K540" s="232"/>
      <c r="L540" s="232"/>
      <c r="M540" s="232"/>
      <c r="N540" s="232"/>
      <c r="O540" s="232"/>
      <c r="P540" s="429"/>
      <c r="Q540" s="429"/>
      <c r="R540" s="429"/>
      <c r="S540" s="429"/>
      <c r="T540" s="429"/>
      <c r="U540" s="429"/>
      <c r="V540" s="429"/>
    </row>
    <row r="541" spans="8:22" ht="12.75">
      <c r="H541" s="232"/>
      <c r="I541" s="232"/>
      <c r="J541" s="232"/>
      <c r="K541" s="232"/>
      <c r="L541" s="232"/>
      <c r="M541" s="232"/>
      <c r="N541" s="232"/>
      <c r="O541" s="232"/>
      <c r="P541" s="429"/>
      <c r="Q541" s="429"/>
      <c r="R541" s="429"/>
      <c r="S541" s="429"/>
      <c r="T541" s="429"/>
      <c r="U541" s="429"/>
      <c r="V541" s="429"/>
    </row>
    <row r="542" spans="8:22" ht="12.75">
      <c r="H542" s="232"/>
      <c r="I542" s="232"/>
      <c r="J542" s="232"/>
      <c r="K542" s="232"/>
      <c r="L542" s="232"/>
      <c r="M542" s="232"/>
      <c r="N542" s="232"/>
      <c r="O542" s="232"/>
      <c r="P542" s="429"/>
      <c r="Q542" s="429"/>
      <c r="R542" s="429"/>
      <c r="S542" s="429"/>
      <c r="T542" s="429"/>
      <c r="U542" s="429"/>
      <c r="V542" s="429"/>
    </row>
    <row r="543" spans="8:22" ht="12.75">
      <c r="H543" s="232"/>
      <c r="I543" s="232"/>
      <c r="J543" s="232"/>
      <c r="K543" s="232"/>
      <c r="L543" s="232"/>
      <c r="M543" s="232"/>
      <c r="N543" s="232"/>
      <c r="O543" s="232"/>
      <c r="P543" s="429"/>
      <c r="Q543" s="429"/>
      <c r="R543" s="429"/>
      <c r="S543" s="429"/>
      <c r="T543" s="429"/>
      <c r="U543" s="429"/>
      <c r="V543" s="429"/>
    </row>
    <row r="544" spans="8:22" ht="12.75">
      <c r="H544" s="232"/>
      <c r="I544" s="232"/>
      <c r="J544" s="232"/>
      <c r="K544" s="232"/>
      <c r="L544" s="232"/>
      <c r="M544" s="232"/>
      <c r="N544" s="232"/>
      <c r="O544" s="232"/>
      <c r="P544" s="429"/>
      <c r="Q544" s="429"/>
      <c r="R544" s="429"/>
      <c r="S544" s="429"/>
      <c r="T544" s="429"/>
      <c r="U544" s="429"/>
      <c r="V544" s="429"/>
    </row>
    <row r="545" spans="8:22" ht="12.75">
      <c r="H545" s="232"/>
      <c r="I545" s="232"/>
      <c r="J545" s="232"/>
      <c r="K545" s="232"/>
      <c r="L545" s="232"/>
      <c r="M545" s="232"/>
      <c r="N545" s="232"/>
      <c r="O545" s="232"/>
      <c r="P545" s="429"/>
      <c r="Q545" s="429"/>
      <c r="R545" s="429"/>
      <c r="S545" s="429"/>
      <c r="T545" s="429"/>
      <c r="U545" s="429"/>
      <c r="V545" s="429"/>
    </row>
    <row r="546" spans="8:22" ht="12.75">
      <c r="H546" s="232"/>
      <c r="I546" s="232"/>
      <c r="J546" s="232"/>
      <c r="K546" s="232"/>
      <c r="L546" s="232"/>
      <c r="M546" s="232"/>
      <c r="N546" s="232"/>
      <c r="O546" s="232"/>
      <c r="P546" s="429"/>
      <c r="Q546" s="429"/>
      <c r="R546" s="429"/>
      <c r="S546" s="429"/>
      <c r="T546" s="429"/>
      <c r="U546" s="429"/>
      <c r="V546" s="429"/>
    </row>
    <row r="547" spans="8:22" ht="12.75">
      <c r="H547" s="232"/>
      <c r="I547" s="232"/>
      <c r="J547" s="232"/>
      <c r="K547" s="232"/>
      <c r="L547" s="232"/>
      <c r="M547" s="232"/>
      <c r="N547" s="232"/>
      <c r="O547" s="232"/>
      <c r="P547" s="429"/>
      <c r="Q547" s="429"/>
      <c r="R547" s="429"/>
      <c r="S547" s="429"/>
      <c r="T547" s="429"/>
      <c r="U547" s="429"/>
      <c r="V547" s="429"/>
    </row>
    <row r="548" spans="8:22" ht="12.75">
      <c r="H548" s="232"/>
      <c r="I548" s="232"/>
      <c r="J548" s="232"/>
      <c r="K548" s="232"/>
      <c r="L548" s="232"/>
      <c r="M548" s="232"/>
      <c r="N548" s="232"/>
      <c r="O548" s="232"/>
      <c r="P548" s="429"/>
      <c r="Q548" s="429"/>
      <c r="R548" s="429"/>
      <c r="S548" s="429"/>
      <c r="T548" s="429"/>
      <c r="U548" s="429"/>
      <c r="V548" s="429"/>
    </row>
    <row r="549" spans="8:22" ht="12.75">
      <c r="H549" s="232"/>
      <c r="I549" s="232"/>
      <c r="J549" s="232"/>
      <c r="K549" s="232"/>
      <c r="L549" s="232"/>
      <c r="M549" s="232"/>
      <c r="N549" s="232"/>
      <c r="O549" s="232"/>
      <c r="P549" s="429"/>
      <c r="Q549" s="429"/>
      <c r="R549" s="429"/>
      <c r="S549" s="429"/>
      <c r="T549" s="429"/>
      <c r="U549" s="429"/>
      <c r="V549" s="429"/>
    </row>
    <row r="550" spans="8:22" ht="12.75">
      <c r="H550" s="232"/>
      <c r="I550" s="232"/>
      <c r="J550" s="232"/>
      <c r="K550" s="232"/>
      <c r="L550" s="232"/>
      <c r="M550" s="232"/>
      <c r="N550" s="232"/>
      <c r="O550" s="232"/>
      <c r="P550" s="429"/>
      <c r="Q550" s="429"/>
      <c r="R550" s="429"/>
      <c r="S550" s="429"/>
      <c r="T550" s="429"/>
      <c r="U550" s="429"/>
      <c r="V550" s="429"/>
    </row>
    <row r="551" spans="8:22" ht="12.75">
      <c r="H551" s="232"/>
      <c r="I551" s="232"/>
      <c r="J551" s="232"/>
      <c r="K551" s="232"/>
      <c r="L551" s="232"/>
      <c r="M551" s="232"/>
      <c r="N551" s="232"/>
      <c r="O551" s="232"/>
      <c r="P551" s="429"/>
      <c r="Q551" s="429"/>
      <c r="R551" s="429"/>
      <c r="S551" s="429"/>
      <c r="T551" s="429"/>
      <c r="U551" s="429"/>
      <c r="V551" s="429"/>
    </row>
    <row r="552" spans="8:22" ht="12.75">
      <c r="H552" s="232"/>
      <c r="I552" s="232"/>
      <c r="J552" s="232"/>
      <c r="K552" s="232"/>
      <c r="L552" s="232"/>
      <c r="M552" s="232"/>
      <c r="N552" s="232"/>
      <c r="O552" s="232"/>
      <c r="P552" s="429"/>
      <c r="Q552" s="429"/>
      <c r="R552" s="429"/>
      <c r="S552" s="429"/>
      <c r="T552" s="429"/>
      <c r="U552" s="429"/>
      <c r="V552" s="429"/>
    </row>
    <row r="553" spans="8:22" ht="12.75">
      <c r="H553" s="232"/>
      <c r="I553" s="232"/>
      <c r="J553" s="232"/>
      <c r="K553" s="232"/>
      <c r="L553" s="232"/>
      <c r="M553" s="232"/>
      <c r="N553" s="232"/>
      <c r="O553" s="232"/>
      <c r="P553" s="429"/>
      <c r="Q553" s="429"/>
      <c r="R553" s="429"/>
      <c r="S553" s="429"/>
      <c r="T553" s="429"/>
      <c r="U553" s="429"/>
      <c r="V553" s="429"/>
    </row>
    <row r="554" spans="8:22" ht="12.75">
      <c r="H554" s="232"/>
      <c r="I554" s="232"/>
      <c r="J554" s="232"/>
      <c r="K554" s="232"/>
      <c r="L554" s="232"/>
      <c r="M554" s="232"/>
      <c r="N554" s="232"/>
      <c r="O554" s="232"/>
      <c r="P554" s="429"/>
      <c r="Q554" s="429"/>
      <c r="R554" s="429"/>
      <c r="S554" s="429"/>
      <c r="T554" s="429"/>
      <c r="U554" s="429"/>
      <c r="V554" s="429"/>
    </row>
    <row r="555" spans="8:27" ht="12.75">
      <c r="H555" s="232"/>
      <c r="I555" s="232"/>
      <c r="J555" s="232"/>
      <c r="K555" s="232"/>
      <c r="L555" s="232"/>
      <c r="M555" s="232"/>
      <c r="N555" s="232"/>
      <c r="O555" s="232"/>
      <c r="P555" s="429"/>
      <c r="Q555" s="429"/>
      <c r="R555" s="429"/>
      <c r="S555" s="429"/>
      <c r="T555" s="429"/>
      <c r="U555" s="429"/>
      <c r="V555" s="429"/>
      <c r="AA555" t="s">
        <v>284</v>
      </c>
    </row>
    <row r="556" spans="8:22" ht="12.75">
      <c r="H556" s="232"/>
      <c r="I556" s="232"/>
      <c r="J556" s="232"/>
      <c r="K556" s="232"/>
      <c r="L556" s="232"/>
      <c r="M556" s="232"/>
      <c r="N556" s="232"/>
      <c r="O556" s="232"/>
      <c r="P556" s="429"/>
      <c r="Q556" s="429"/>
      <c r="R556" s="429"/>
      <c r="S556" s="429"/>
      <c r="T556" s="429"/>
      <c r="U556" s="429"/>
      <c r="V556" s="429"/>
    </row>
    <row r="557" spans="8:22" ht="12.75">
      <c r="H557" s="232"/>
      <c r="I557" s="232"/>
      <c r="J557" s="232"/>
      <c r="K557" s="232"/>
      <c r="L557" s="232"/>
      <c r="M557" s="232"/>
      <c r="N557" s="232"/>
      <c r="O557" s="232"/>
      <c r="P557" s="429"/>
      <c r="Q557" s="429"/>
      <c r="R557" s="429"/>
      <c r="S557" s="429"/>
      <c r="T557" s="429"/>
      <c r="U557" s="429"/>
      <c r="V557" s="429"/>
    </row>
    <row r="558" spans="8:27" ht="12.75">
      <c r="H558" s="232"/>
      <c r="I558" s="232"/>
      <c r="J558" s="232"/>
      <c r="K558" s="232"/>
      <c r="L558" s="232"/>
      <c r="M558" s="232"/>
      <c r="N558" s="232"/>
      <c r="O558" s="232"/>
      <c r="P558" s="429"/>
      <c r="Q558" s="429"/>
      <c r="R558" s="429"/>
      <c r="S558" s="429"/>
      <c r="T558" s="429"/>
      <c r="U558" s="429"/>
      <c r="V558" s="429"/>
      <c r="AA558" t="s">
        <v>259</v>
      </c>
    </row>
    <row r="559" spans="8:22" ht="12.75">
      <c r="H559" s="232"/>
      <c r="I559" s="232"/>
      <c r="J559" s="232"/>
      <c r="K559" s="232"/>
      <c r="L559" s="232"/>
      <c r="M559" s="232"/>
      <c r="N559" s="232"/>
      <c r="O559" s="232"/>
      <c r="P559" s="429"/>
      <c r="Q559" s="429"/>
      <c r="R559" s="429"/>
      <c r="S559" s="429"/>
      <c r="T559" s="429"/>
      <c r="U559" s="429"/>
      <c r="V559" s="429"/>
    </row>
    <row r="560" spans="8:22" ht="12.75">
      <c r="H560" s="232"/>
      <c r="I560" s="232"/>
      <c r="J560" s="232"/>
      <c r="K560" s="232"/>
      <c r="L560" s="232"/>
      <c r="M560" s="232"/>
      <c r="N560" s="232"/>
      <c r="O560" s="232"/>
      <c r="P560" s="429"/>
      <c r="Q560" s="429"/>
      <c r="R560" s="429"/>
      <c r="S560" s="429"/>
      <c r="T560" s="429"/>
      <c r="U560" s="429"/>
      <c r="V560" s="429"/>
    </row>
    <row r="561" spans="8:22" ht="12.75">
      <c r="H561" s="232"/>
      <c r="I561" s="232"/>
      <c r="J561" s="232"/>
      <c r="K561" s="232"/>
      <c r="L561" s="232"/>
      <c r="M561" s="232"/>
      <c r="N561" s="232"/>
      <c r="O561" s="232"/>
      <c r="P561" s="429"/>
      <c r="Q561" s="429"/>
      <c r="R561" s="429"/>
      <c r="S561" s="429"/>
      <c r="T561" s="429"/>
      <c r="U561" s="429"/>
      <c r="V561" s="429"/>
    </row>
    <row r="562" spans="8:22" ht="12.75">
      <c r="H562" s="232"/>
      <c r="I562" s="232"/>
      <c r="J562" s="232"/>
      <c r="K562" s="232"/>
      <c r="L562" s="232"/>
      <c r="M562" s="232"/>
      <c r="N562" s="232"/>
      <c r="O562" s="232"/>
      <c r="P562" s="429"/>
      <c r="Q562" s="429"/>
      <c r="R562" s="429"/>
      <c r="S562" s="429"/>
      <c r="T562" s="429"/>
      <c r="U562" s="429"/>
      <c r="V562" s="429"/>
    </row>
    <row r="563" spans="8:22" ht="12.75">
      <c r="H563" s="232"/>
      <c r="I563" s="232"/>
      <c r="J563" s="232"/>
      <c r="K563" s="232"/>
      <c r="L563" s="232"/>
      <c r="M563" s="232"/>
      <c r="N563" s="232"/>
      <c r="O563" s="232"/>
      <c r="P563" s="429"/>
      <c r="Q563" s="429"/>
      <c r="R563" s="429"/>
      <c r="S563" s="429"/>
      <c r="T563" s="429"/>
      <c r="U563" s="429"/>
      <c r="V563" s="429"/>
    </row>
    <row r="564" spans="8:22" ht="12.75">
      <c r="H564" s="232"/>
      <c r="I564" s="232"/>
      <c r="J564" s="232"/>
      <c r="K564" s="232"/>
      <c r="L564" s="232"/>
      <c r="M564" s="232"/>
      <c r="N564" s="232"/>
      <c r="O564" s="232"/>
      <c r="P564" s="429"/>
      <c r="Q564" s="429"/>
      <c r="R564" s="429"/>
      <c r="S564" s="429"/>
      <c r="T564" s="429"/>
      <c r="U564" s="429"/>
      <c r="V564" s="429"/>
    </row>
    <row r="565" spans="8:22" ht="12.75">
      <c r="H565" s="232"/>
      <c r="I565" s="232"/>
      <c r="J565" s="232"/>
      <c r="K565" s="232"/>
      <c r="L565" s="232"/>
      <c r="M565" s="232"/>
      <c r="N565" s="232"/>
      <c r="O565" s="232"/>
      <c r="P565" s="429"/>
      <c r="Q565" s="429"/>
      <c r="R565" s="429"/>
      <c r="S565" s="429"/>
      <c r="T565" s="429"/>
      <c r="U565" s="429"/>
      <c r="V565" s="429"/>
    </row>
    <row r="566" spans="8:22" ht="12.75">
      <c r="H566" s="232"/>
      <c r="I566" s="232"/>
      <c r="J566" s="232"/>
      <c r="K566" s="232"/>
      <c r="L566" s="232"/>
      <c r="M566" s="232"/>
      <c r="N566" s="232"/>
      <c r="O566" s="232"/>
      <c r="P566" s="429"/>
      <c r="Q566" s="429"/>
      <c r="R566" s="429"/>
      <c r="S566" s="429"/>
      <c r="T566" s="429"/>
      <c r="U566" s="429"/>
      <c r="V566" s="429"/>
    </row>
    <row r="567" spans="8:22" ht="12.75">
      <c r="H567" s="232"/>
      <c r="I567" s="232"/>
      <c r="J567" s="232"/>
      <c r="K567" s="232"/>
      <c r="L567" s="232"/>
      <c r="M567" s="232"/>
      <c r="N567" s="232"/>
      <c r="O567" s="232"/>
      <c r="P567" s="429"/>
      <c r="Q567" s="429"/>
      <c r="R567" s="429"/>
      <c r="S567" s="429"/>
      <c r="T567" s="429"/>
      <c r="U567" s="429"/>
      <c r="V567" s="429"/>
    </row>
    <row r="568" spans="8:22" ht="12.75">
      <c r="H568" s="232"/>
      <c r="I568" s="232"/>
      <c r="J568" s="232"/>
      <c r="K568" s="232"/>
      <c r="L568" s="232"/>
      <c r="M568" s="232"/>
      <c r="N568" s="232"/>
      <c r="O568" s="232"/>
      <c r="P568" s="429"/>
      <c r="Q568" s="429"/>
      <c r="R568" s="429"/>
      <c r="S568" s="429"/>
      <c r="T568" s="429"/>
      <c r="U568" s="429"/>
      <c r="V568" s="429"/>
    </row>
    <row r="569" spans="8:22" ht="12.75">
      <c r="H569" s="232"/>
      <c r="I569" s="232"/>
      <c r="J569" s="232"/>
      <c r="K569" s="232"/>
      <c r="L569" s="232"/>
      <c r="M569" s="232"/>
      <c r="N569" s="232"/>
      <c r="O569" s="232"/>
      <c r="P569" s="429"/>
      <c r="Q569" s="429"/>
      <c r="R569" s="429"/>
      <c r="S569" s="429"/>
      <c r="T569" s="429"/>
      <c r="U569" s="429"/>
      <c r="V569" s="429"/>
    </row>
    <row r="570" spans="8:22" ht="12.75">
      <c r="H570" s="232"/>
      <c r="I570" s="232"/>
      <c r="J570" s="232"/>
      <c r="K570" s="232"/>
      <c r="L570" s="232"/>
      <c r="M570" s="232"/>
      <c r="N570" s="232"/>
      <c r="O570" s="232"/>
      <c r="P570" s="429"/>
      <c r="Q570" s="429"/>
      <c r="R570" s="429"/>
      <c r="S570" s="429"/>
      <c r="T570" s="429"/>
      <c r="U570" s="429"/>
      <c r="V570" s="429"/>
    </row>
    <row r="571" spans="8:22" ht="12.75">
      <c r="H571" s="232"/>
      <c r="I571" s="232"/>
      <c r="J571" s="232"/>
      <c r="K571" s="232"/>
      <c r="L571" s="232"/>
      <c r="M571" s="232"/>
      <c r="N571" s="232"/>
      <c r="O571" s="232"/>
      <c r="P571" s="429"/>
      <c r="Q571" s="429"/>
      <c r="R571" s="429"/>
      <c r="S571" s="429"/>
      <c r="T571" s="429"/>
      <c r="U571" s="429"/>
      <c r="V571" s="429"/>
    </row>
    <row r="572" spans="8:22" ht="12.75">
      <c r="H572" s="232"/>
      <c r="I572" s="232"/>
      <c r="J572" s="232"/>
      <c r="K572" s="232"/>
      <c r="L572" s="232"/>
      <c r="M572" s="232"/>
      <c r="N572" s="232"/>
      <c r="O572" s="232"/>
      <c r="P572" s="429"/>
      <c r="Q572" s="429"/>
      <c r="R572" s="429"/>
      <c r="S572" s="429"/>
      <c r="T572" s="429"/>
      <c r="U572" s="429"/>
      <c r="V572" s="429"/>
    </row>
    <row r="573" spans="8:22" ht="12.75">
      <c r="H573" s="232"/>
      <c r="I573" s="232"/>
      <c r="J573" s="232"/>
      <c r="K573" s="232"/>
      <c r="L573" s="232"/>
      <c r="M573" s="232"/>
      <c r="N573" s="232"/>
      <c r="O573" s="232"/>
      <c r="P573" s="429"/>
      <c r="Q573" s="429"/>
      <c r="R573" s="429"/>
      <c r="S573" s="429"/>
      <c r="T573" s="429"/>
      <c r="U573" s="429"/>
      <c r="V573" s="429"/>
    </row>
    <row r="574" spans="8:22" ht="12.75">
      <c r="H574" s="232"/>
      <c r="I574" s="232"/>
      <c r="J574" s="232"/>
      <c r="K574" s="232"/>
      <c r="L574" s="232"/>
      <c r="M574" s="232"/>
      <c r="N574" s="232"/>
      <c r="O574" s="232"/>
      <c r="P574" s="429"/>
      <c r="Q574" s="429"/>
      <c r="R574" s="429"/>
      <c r="S574" s="429"/>
      <c r="T574" s="429"/>
      <c r="U574" s="429"/>
      <c r="V574" s="429"/>
    </row>
    <row r="575" spans="8:22" ht="12.75">
      <c r="H575" s="232"/>
      <c r="I575" s="232"/>
      <c r="J575" s="232"/>
      <c r="K575" s="232"/>
      <c r="L575" s="232"/>
      <c r="M575" s="232"/>
      <c r="N575" s="232"/>
      <c r="O575" s="232"/>
      <c r="P575" s="429"/>
      <c r="Q575" s="429"/>
      <c r="R575" s="429"/>
      <c r="S575" s="429"/>
      <c r="T575" s="429"/>
      <c r="U575" s="429"/>
      <c r="V575" s="429"/>
    </row>
    <row r="576" spans="8:22" ht="12.75">
      <c r="H576" s="232"/>
      <c r="I576" s="232"/>
      <c r="J576" s="232"/>
      <c r="K576" s="232"/>
      <c r="L576" s="232"/>
      <c r="M576" s="232"/>
      <c r="N576" s="232"/>
      <c r="O576" s="232"/>
      <c r="P576" s="429"/>
      <c r="Q576" s="429"/>
      <c r="R576" s="429"/>
      <c r="S576" s="429"/>
      <c r="T576" s="429"/>
      <c r="U576" s="429"/>
      <c r="V576" s="429"/>
    </row>
    <row r="577" spans="8:22" ht="12.75">
      <c r="H577" s="232"/>
      <c r="I577" s="232"/>
      <c r="J577" s="232"/>
      <c r="K577" s="232"/>
      <c r="L577" s="232"/>
      <c r="M577" s="232"/>
      <c r="N577" s="232"/>
      <c r="O577" s="232"/>
      <c r="P577" s="429"/>
      <c r="Q577" s="429"/>
      <c r="R577" s="429"/>
      <c r="S577" s="429"/>
      <c r="T577" s="429"/>
      <c r="U577" s="429"/>
      <c r="V577" s="429"/>
    </row>
    <row r="578" spans="8:22" ht="12.75">
      <c r="H578" s="232"/>
      <c r="I578" s="232"/>
      <c r="J578" s="232"/>
      <c r="K578" s="232"/>
      <c r="L578" s="232"/>
      <c r="M578" s="232"/>
      <c r="N578" s="232"/>
      <c r="O578" s="232"/>
      <c r="P578" s="429"/>
      <c r="Q578" s="429"/>
      <c r="R578" s="429"/>
      <c r="S578" s="429"/>
      <c r="T578" s="429"/>
      <c r="U578" s="429"/>
      <c r="V578" s="429"/>
    </row>
    <row r="579" spans="8:22" ht="12.75">
      <c r="H579" s="232"/>
      <c r="I579" s="232"/>
      <c r="J579" s="232"/>
      <c r="K579" s="232"/>
      <c r="L579" s="232"/>
      <c r="M579" s="232"/>
      <c r="N579" s="232"/>
      <c r="O579" s="232"/>
      <c r="P579" s="429"/>
      <c r="Q579" s="429"/>
      <c r="R579" s="429"/>
      <c r="S579" s="429"/>
      <c r="T579" s="429"/>
      <c r="U579" s="429"/>
      <c r="V579" s="429"/>
    </row>
    <row r="580" spans="8:22" ht="12.75">
      <c r="H580" s="232"/>
      <c r="I580" s="232"/>
      <c r="J580" s="232"/>
      <c r="K580" s="232"/>
      <c r="L580" s="232"/>
      <c r="M580" s="232"/>
      <c r="N580" s="232"/>
      <c r="O580" s="232"/>
      <c r="P580" s="429"/>
      <c r="Q580" s="429"/>
      <c r="R580" s="429"/>
      <c r="S580" s="429"/>
      <c r="T580" s="429"/>
      <c r="U580" s="429"/>
      <c r="V580" s="429"/>
    </row>
    <row r="581" spans="8:22" ht="12.75">
      <c r="H581" s="232"/>
      <c r="I581" s="232"/>
      <c r="J581" s="232"/>
      <c r="K581" s="232"/>
      <c r="L581" s="232"/>
      <c r="M581" s="232"/>
      <c r="N581" s="232"/>
      <c r="O581" s="232"/>
      <c r="P581" s="429"/>
      <c r="Q581" s="429"/>
      <c r="R581" s="429"/>
      <c r="S581" s="429"/>
      <c r="T581" s="429"/>
      <c r="U581" s="429"/>
      <c r="V581" s="429"/>
    </row>
    <row r="582" spans="8:22" ht="12.75">
      <c r="H582" s="232"/>
      <c r="I582" s="232"/>
      <c r="J582" s="232"/>
      <c r="K582" s="232"/>
      <c r="L582" s="232"/>
      <c r="M582" s="232"/>
      <c r="N582" s="232"/>
      <c r="O582" s="232"/>
      <c r="P582" s="429"/>
      <c r="Q582" s="429"/>
      <c r="R582" s="429"/>
      <c r="S582" s="429"/>
      <c r="T582" s="429"/>
      <c r="U582" s="429"/>
      <c r="V582" s="429"/>
    </row>
    <row r="583" spans="8:22" ht="12.75">
      <c r="H583" s="232"/>
      <c r="I583" s="232"/>
      <c r="J583" s="232"/>
      <c r="K583" s="232"/>
      <c r="L583" s="232"/>
      <c r="M583" s="232"/>
      <c r="N583" s="232"/>
      <c r="O583" s="232"/>
      <c r="P583" s="429"/>
      <c r="Q583" s="429"/>
      <c r="R583" s="429"/>
      <c r="S583" s="429"/>
      <c r="T583" s="429"/>
      <c r="U583" s="429"/>
      <c r="V583" s="429"/>
    </row>
    <row r="584" spans="8:22" ht="12.75">
      <c r="H584" s="232"/>
      <c r="I584" s="232"/>
      <c r="J584" s="232"/>
      <c r="K584" s="232"/>
      <c r="L584" s="232"/>
      <c r="M584" s="232"/>
      <c r="N584" s="232"/>
      <c r="O584" s="232"/>
      <c r="P584" s="429"/>
      <c r="Q584" s="429"/>
      <c r="R584" s="429"/>
      <c r="S584" s="429"/>
      <c r="T584" s="429"/>
      <c r="U584" s="429"/>
      <c r="V584" s="429"/>
    </row>
    <row r="585" spans="8:22" ht="12.75">
      <c r="H585" s="232"/>
      <c r="I585" s="232"/>
      <c r="J585" s="232"/>
      <c r="K585" s="232"/>
      <c r="L585" s="232"/>
      <c r="M585" s="232"/>
      <c r="N585" s="232"/>
      <c r="O585" s="232"/>
      <c r="P585" s="429"/>
      <c r="Q585" s="429"/>
      <c r="R585" s="429"/>
      <c r="S585" s="429"/>
      <c r="T585" s="429"/>
      <c r="U585" s="429"/>
      <c r="V585" s="429"/>
    </row>
    <row r="586" spans="8:22" ht="12.75">
      <c r="H586" s="232"/>
      <c r="I586" s="232"/>
      <c r="J586" s="232"/>
      <c r="K586" s="232"/>
      <c r="L586" s="232"/>
      <c r="M586" s="232"/>
      <c r="N586" s="232"/>
      <c r="O586" s="232"/>
      <c r="P586" s="429"/>
      <c r="Q586" s="429"/>
      <c r="R586" s="429"/>
      <c r="S586" s="429"/>
      <c r="T586" s="429"/>
      <c r="U586" s="429"/>
      <c r="V586" s="429"/>
    </row>
    <row r="587" spans="8:22" ht="12.75">
      <c r="H587" s="232"/>
      <c r="I587" s="232"/>
      <c r="J587" s="232"/>
      <c r="K587" s="232"/>
      <c r="L587" s="232"/>
      <c r="M587" s="232"/>
      <c r="N587" s="232"/>
      <c r="O587" s="232"/>
      <c r="P587" s="429"/>
      <c r="Q587" s="429"/>
      <c r="R587" s="429"/>
      <c r="S587" s="429"/>
      <c r="T587" s="429"/>
      <c r="U587" s="429"/>
      <c r="V587" s="429"/>
    </row>
    <row r="588" spans="8:22" ht="12.75">
      <c r="H588" s="232"/>
      <c r="I588" s="232"/>
      <c r="J588" s="232"/>
      <c r="K588" s="232"/>
      <c r="L588" s="232"/>
      <c r="M588" s="232"/>
      <c r="N588" s="232"/>
      <c r="O588" s="232"/>
      <c r="P588" s="429"/>
      <c r="Q588" s="429"/>
      <c r="R588" s="429"/>
      <c r="S588" s="429"/>
      <c r="T588" s="429"/>
      <c r="U588" s="429"/>
      <c r="V588" s="429"/>
    </row>
    <row r="589" spans="8:22" ht="12.75">
      <c r="H589" s="232"/>
      <c r="I589" s="232"/>
      <c r="J589" s="232"/>
      <c r="K589" s="232"/>
      <c r="L589" s="232"/>
      <c r="M589" s="232"/>
      <c r="N589" s="232"/>
      <c r="O589" s="232"/>
      <c r="P589" s="429"/>
      <c r="Q589" s="429"/>
      <c r="R589" s="429"/>
      <c r="S589" s="429"/>
      <c r="T589" s="429"/>
      <c r="U589" s="429"/>
      <c r="V589" s="429"/>
    </row>
    <row r="590" spans="8:22" ht="12.75">
      <c r="H590" s="232"/>
      <c r="I590" s="232"/>
      <c r="J590" s="232"/>
      <c r="K590" s="232"/>
      <c r="L590" s="232"/>
      <c r="M590" s="232"/>
      <c r="N590" s="232"/>
      <c r="O590" s="232"/>
      <c r="P590" s="429"/>
      <c r="Q590" s="429"/>
      <c r="R590" s="429"/>
      <c r="S590" s="429"/>
      <c r="T590" s="429"/>
      <c r="U590" s="429"/>
      <c r="V590" s="429"/>
    </row>
    <row r="591" spans="8:22" ht="12.75">
      <c r="H591" s="232"/>
      <c r="I591" s="232"/>
      <c r="J591" s="232"/>
      <c r="K591" s="232"/>
      <c r="L591" s="232"/>
      <c r="M591" s="232"/>
      <c r="N591" s="232"/>
      <c r="O591" s="232"/>
      <c r="P591" s="429"/>
      <c r="Q591" s="429"/>
      <c r="R591" s="429"/>
      <c r="S591" s="429"/>
      <c r="T591" s="429"/>
      <c r="U591" s="429"/>
      <c r="V591" s="429"/>
    </row>
    <row r="592" spans="8:22" ht="12.75">
      <c r="H592" s="232"/>
      <c r="I592" s="232"/>
      <c r="J592" s="232"/>
      <c r="K592" s="232"/>
      <c r="L592" s="232"/>
      <c r="M592" s="232"/>
      <c r="N592" s="232"/>
      <c r="O592" s="232"/>
      <c r="P592" s="429"/>
      <c r="Q592" s="429"/>
      <c r="R592" s="429"/>
      <c r="S592" s="429"/>
      <c r="T592" s="429"/>
      <c r="U592" s="429"/>
      <c r="V592" s="429"/>
    </row>
    <row r="593" spans="8:22" ht="12.75">
      <c r="H593" s="232"/>
      <c r="I593" s="232"/>
      <c r="J593" s="232"/>
      <c r="K593" s="232"/>
      <c r="L593" s="232"/>
      <c r="M593" s="232"/>
      <c r="N593" s="232"/>
      <c r="O593" s="232"/>
      <c r="P593" s="429"/>
      <c r="Q593" s="429"/>
      <c r="R593" s="429"/>
      <c r="S593" s="429"/>
      <c r="T593" s="429"/>
      <c r="U593" s="429"/>
      <c r="V593" s="429"/>
    </row>
    <row r="594" spans="8:22" ht="12.75">
      <c r="H594" s="232"/>
      <c r="I594" s="232"/>
      <c r="J594" s="232"/>
      <c r="K594" s="232"/>
      <c r="L594" s="232"/>
      <c r="M594" s="232"/>
      <c r="N594" s="232"/>
      <c r="O594" s="232"/>
      <c r="P594" s="429"/>
      <c r="Q594" s="429"/>
      <c r="R594" s="429"/>
      <c r="S594" s="429"/>
      <c r="T594" s="429"/>
      <c r="U594" s="429"/>
      <c r="V594" s="429"/>
    </row>
    <row r="595" spans="8:22" ht="12.75">
      <c r="H595" s="232"/>
      <c r="I595" s="232"/>
      <c r="J595" s="232"/>
      <c r="K595" s="232"/>
      <c r="L595" s="232"/>
      <c r="M595" s="232"/>
      <c r="N595" s="232"/>
      <c r="O595" s="232"/>
      <c r="P595" s="429"/>
      <c r="Q595" s="429"/>
      <c r="R595" s="429"/>
      <c r="S595" s="429"/>
      <c r="T595" s="429"/>
      <c r="U595" s="429"/>
      <c r="V595" s="429"/>
    </row>
    <row r="596" spans="8:22" ht="12.75">
      <c r="H596" s="232"/>
      <c r="I596" s="232"/>
      <c r="J596" s="232"/>
      <c r="K596" s="232"/>
      <c r="L596" s="232"/>
      <c r="M596" s="232"/>
      <c r="N596" s="232"/>
      <c r="O596" s="232"/>
      <c r="P596" s="429"/>
      <c r="Q596" s="429"/>
      <c r="R596" s="429"/>
      <c r="S596" s="429"/>
      <c r="T596" s="429"/>
      <c r="U596" s="429"/>
      <c r="V596" s="429"/>
    </row>
    <row r="597" spans="8:22" ht="12.75">
      <c r="H597" s="232"/>
      <c r="I597" s="232"/>
      <c r="J597" s="232"/>
      <c r="K597" s="232"/>
      <c r="L597" s="232"/>
      <c r="M597" s="232"/>
      <c r="N597" s="232"/>
      <c r="O597" s="232"/>
      <c r="P597" s="429"/>
      <c r="Q597" s="429"/>
      <c r="R597" s="429"/>
      <c r="S597" s="429"/>
      <c r="T597" s="429"/>
      <c r="U597" s="429"/>
      <c r="V597" s="429"/>
    </row>
    <row r="598" spans="8:22" ht="12.75">
      <c r="H598" s="232"/>
      <c r="I598" s="232"/>
      <c r="J598" s="232"/>
      <c r="K598" s="232"/>
      <c r="L598" s="232"/>
      <c r="M598" s="232"/>
      <c r="N598" s="232"/>
      <c r="O598" s="232"/>
      <c r="P598" s="429"/>
      <c r="Q598" s="429"/>
      <c r="R598" s="429"/>
      <c r="S598" s="429"/>
      <c r="T598" s="429"/>
      <c r="U598" s="429"/>
      <c r="V598" s="429"/>
    </row>
    <row r="599" spans="8:22" ht="12.75">
      <c r="H599" s="232"/>
      <c r="I599" s="232"/>
      <c r="J599" s="232"/>
      <c r="K599" s="232"/>
      <c r="L599" s="232"/>
      <c r="M599" s="232"/>
      <c r="N599" s="232"/>
      <c r="O599" s="232"/>
      <c r="P599" s="429"/>
      <c r="Q599" s="429"/>
      <c r="R599" s="429"/>
      <c r="S599" s="429"/>
      <c r="T599" s="429"/>
      <c r="U599" s="429"/>
      <c r="V599" s="429"/>
    </row>
    <row r="600" spans="8:22" ht="12.75">
      <c r="H600" s="232"/>
      <c r="I600" s="232"/>
      <c r="J600" s="232"/>
      <c r="K600" s="232"/>
      <c r="L600" s="232"/>
      <c r="M600" s="232"/>
      <c r="N600" s="232"/>
      <c r="O600" s="232"/>
      <c r="P600" s="429"/>
      <c r="Q600" s="429"/>
      <c r="R600" s="429"/>
      <c r="S600" s="429"/>
      <c r="T600" s="429"/>
      <c r="U600" s="429"/>
      <c r="V600" s="429"/>
    </row>
    <row r="601" spans="8:22" ht="12.75">
      <c r="H601" s="232"/>
      <c r="I601" s="232"/>
      <c r="J601" s="232"/>
      <c r="K601" s="232"/>
      <c r="L601" s="232"/>
      <c r="M601" s="232"/>
      <c r="N601" s="232"/>
      <c r="O601" s="232"/>
      <c r="P601" s="429"/>
      <c r="Q601" s="429"/>
      <c r="R601" s="429"/>
      <c r="S601" s="429"/>
      <c r="T601" s="429"/>
      <c r="U601" s="429"/>
      <c r="V601" s="429"/>
    </row>
    <row r="602" spans="8:22" ht="12.75">
      <c r="H602" s="232"/>
      <c r="I602" s="232"/>
      <c r="J602" s="232"/>
      <c r="K602" s="232"/>
      <c r="L602" s="232"/>
      <c r="M602" s="232"/>
      <c r="N602" s="232"/>
      <c r="O602" s="232"/>
      <c r="P602" s="429"/>
      <c r="Q602" s="429"/>
      <c r="R602" s="429"/>
      <c r="S602" s="429"/>
      <c r="T602" s="429"/>
      <c r="U602" s="429"/>
      <c r="V602" s="429"/>
    </row>
    <row r="603" spans="8:22" ht="12.75">
      <c r="H603" s="232"/>
      <c r="I603" s="232"/>
      <c r="J603" s="232"/>
      <c r="K603" s="232"/>
      <c r="L603" s="232"/>
      <c r="M603" s="232"/>
      <c r="N603" s="232"/>
      <c r="O603" s="232"/>
      <c r="P603" s="429"/>
      <c r="Q603" s="429"/>
      <c r="R603" s="429"/>
      <c r="S603" s="429"/>
      <c r="T603" s="429"/>
      <c r="U603" s="429"/>
      <c r="V603" s="429"/>
    </row>
    <row r="604" spans="8:22" ht="12.75">
      <c r="H604" s="232"/>
      <c r="I604" s="232"/>
      <c r="J604" s="232"/>
      <c r="K604" s="232"/>
      <c r="L604" s="232"/>
      <c r="M604" s="232"/>
      <c r="N604" s="232"/>
      <c r="O604" s="232"/>
      <c r="P604" s="429"/>
      <c r="Q604" s="429"/>
      <c r="R604" s="429"/>
      <c r="S604" s="429"/>
      <c r="T604" s="429"/>
      <c r="U604" s="429"/>
      <c r="V604" s="429"/>
    </row>
    <row r="605" spans="8:22" ht="12.75">
      <c r="H605" s="232"/>
      <c r="I605" s="232"/>
      <c r="J605" s="232"/>
      <c r="K605" s="232"/>
      <c r="L605" s="232"/>
      <c r="M605" s="232"/>
      <c r="N605" s="232"/>
      <c r="O605" s="232"/>
      <c r="P605" s="429"/>
      <c r="Q605" s="429"/>
      <c r="R605" s="429"/>
      <c r="S605" s="429"/>
      <c r="T605" s="429"/>
      <c r="U605" s="429"/>
      <c r="V605" s="429"/>
    </row>
    <row r="606" spans="8:22" ht="12.75">
      <c r="H606" s="232"/>
      <c r="I606" s="232"/>
      <c r="J606" s="232"/>
      <c r="K606" s="232"/>
      <c r="L606" s="232"/>
      <c r="M606" s="232"/>
      <c r="N606" s="232"/>
      <c r="O606" s="232"/>
      <c r="P606" s="429"/>
      <c r="Q606" s="429"/>
      <c r="R606" s="429"/>
      <c r="S606" s="429"/>
      <c r="T606" s="429"/>
      <c r="U606" s="429"/>
      <c r="V606" s="429"/>
    </row>
    <row r="607" spans="8:22" ht="12.75">
      <c r="H607" s="232"/>
      <c r="I607" s="232"/>
      <c r="J607" s="232"/>
      <c r="K607" s="232"/>
      <c r="L607" s="232"/>
      <c r="M607" s="232"/>
      <c r="N607" s="232"/>
      <c r="O607" s="232"/>
      <c r="P607" s="429"/>
      <c r="Q607" s="429"/>
      <c r="R607" s="429"/>
      <c r="S607" s="429"/>
      <c r="T607" s="429"/>
      <c r="U607" s="429"/>
      <c r="V607" s="429"/>
    </row>
    <row r="608" spans="8:22" ht="12.75">
      <c r="H608" s="232"/>
      <c r="I608" s="232"/>
      <c r="J608" s="232"/>
      <c r="K608" s="232"/>
      <c r="L608" s="232"/>
      <c r="M608" s="232"/>
      <c r="N608" s="232"/>
      <c r="O608" s="232"/>
      <c r="P608" s="429"/>
      <c r="Q608" s="429"/>
      <c r="R608" s="429"/>
      <c r="S608" s="429"/>
      <c r="T608" s="429"/>
      <c r="U608" s="429"/>
      <c r="V608" s="429"/>
    </row>
    <row r="609" spans="8:22" ht="12.75">
      <c r="H609" s="232"/>
      <c r="I609" s="232"/>
      <c r="J609" s="232"/>
      <c r="K609" s="232"/>
      <c r="L609" s="232"/>
      <c r="M609" s="232"/>
      <c r="N609" s="232"/>
      <c r="O609" s="232"/>
      <c r="P609" s="429"/>
      <c r="Q609" s="429"/>
      <c r="R609" s="429"/>
      <c r="S609" s="429"/>
      <c r="T609" s="429"/>
      <c r="U609" s="429"/>
      <c r="V609" s="429"/>
    </row>
    <row r="610" spans="8:22" ht="12.75">
      <c r="H610" s="232"/>
      <c r="I610" s="232"/>
      <c r="J610" s="232"/>
      <c r="K610" s="232"/>
      <c r="L610" s="232"/>
      <c r="M610" s="232"/>
      <c r="N610" s="232"/>
      <c r="O610" s="232"/>
      <c r="P610" s="429"/>
      <c r="Q610" s="429"/>
      <c r="R610" s="429"/>
      <c r="S610" s="429"/>
      <c r="T610" s="429"/>
      <c r="U610" s="429"/>
      <c r="V610" s="429"/>
    </row>
    <row r="611" spans="8:22" ht="12.75">
      <c r="H611" s="232"/>
      <c r="I611" s="232"/>
      <c r="J611" s="232"/>
      <c r="K611" s="232"/>
      <c r="L611" s="232"/>
      <c r="M611" s="232"/>
      <c r="N611" s="232"/>
      <c r="O611" s="232"/>
      <c r="P611" s="429"/>
      <c r="Q611" s="429"/>
      <c r="R611" s="429"/>
      <c r="S611" s="429"/>
      <c r="T611" s="429"/>
      <c r="U611" s="429"/>
      <c r="V611" s="429"/>
    </row>
    <row r="612" spans="8:22" ht="12.75">
      <c r="H612" s="232"/>
      <c r="I612" s="232"/>
      <c r="J612" s="232"/>
      <c r="K612" s="232"/>
      <c r="L612" s="232"/>
      <c r="M612" s="232"/>
      <c r="N612" s="232"/>
      <c r="O612" s="232"/>
      <c r="P612" s="429"/>
      <c r="Q612" s="429"/>
      <c r="R612" s="429"/>
      <c r="S612" s="429"/>
      <c r="T612" s="429"/>
      <c r="U612" s="429"/>
      <c r="V612" s="429"/>
    </row>
    <row r="613" spans="8:22" ht="12.75">
      <c r="H613" s="232"/>
      <c r="I613" s="232"/>
      <c r="J613" s="232"/>
      <c r="K613" s="232"/>
      <c r="L613" s="232"/>
      <c r="M613" s="232"/>
      <c r="N613" s="232"/>
      <c r="O613" s="232"/>
      <c r="P613" s="429"/>
      <c r="Q613" s="429"/>
      <c r="R613" s="429"/>
      <c r="S613" s="429"/>
      <c r="T613" s="429"/>
      <c r="U613" s="429"/>
      <c r="V613" s="429"/>
    </row>
    <row r="614" spans="8:22" ht="12.75">
      <c r="H614" s="232"/>
      <c r="I614" s="232"/>
      <c r="J614" s="232"/>
      <c r="K614" s="232"/>
      <c r="L614" s="232"/>
      <c r="M614" s="232"/>
      <c r="N614" s="232"/>
      <c r="O614" s="232"/>
      <c r="P614" s="429"/>
      <c r="Q614" s="429"/>
      <c r="R614" s="429"/>
      <c r="S614" s="429"/>
      <c r="T614" s="429"/>
      <c r="U614" s="429"/>
      <c r="V614" s="429"/>
    </row>
    <row r="615" spans="8:22" ht="12.75">
      <c r="H615" s="232"/>
      <c r="I615" s="232"/>
      <c r="J615" s="232"/>
      <c r="K615" s="232"/>
      <c r="L615" s="232"/>
      <c r="M615" s="232"/>
      <c r="N615" s="232"/>
      <c r="O615" s="232"/>
      <c r="P615" s="429"/>
      <c r="Q615" s="429"/>
      <c r="R615" s="429"/>
      <c r="S615" s="429"/>
      <c r="T615" s="429"/>
      <c r="U615" s="429"/>
      <c r="V615" s="429"/>
    </row>
    <row r="616" spans="8:22" ht="12.75">
      <c r="H616" s="232"/>
      <c r="I616" s="232"/>
      <c r="J616" s="232"/>
      <c r="K616" s="232"/>
      <c r="L616" s="232"/>
      <c r="M616" s="232"/>
      <c r="N616" s="232"/>
      <c r="O616" s="232"/>
      <c r="P616" s="429"/>
      <c r="Q616" s="429"/>
      <c r="R616" s="429"/>
      <c r="S616" s="429"/>
      <c r="T616" s="429"/>
      <c r="U616" s="429"/>
      <c r="V616" s="429"/>
    </row>
    <row r="617" spans="8:22" ht="12.75">
      <c r="H617" s="232"/>
      <c r="I617" s="232"/>
      <c r="J617" s="232"/>
      <c r="K617" s="232"/>
      <c r="L617" s="232"/>
      <c r="M617" s="232"/>
      <c r="N617" s="232"/>
      <c r="O617" s="232"/>
      <c r="P617" s="429"/>
      <c r="Q617" s="429"/>
      <c r="R617" s="429"/>
      <c r="S617" s="429"/>
      <c r="T617" s="429"/>
      <c r="U617" s="429"/>
      <c r="V617" s="429"/>
    </row>
    <row r="618" spans="8:22" ht="12.75">
      <c r="H618" s="232"/>
      <c r="I618" s="232"/>
      <c r="J618" s="232"/>
      <c r="K618" s="232"/>
      <c r="L618" s="232"/>
      <c r="M618" s="232"/>
      <c r="N618" s="232"/>
      <c r="O618" s="232"/>
      <c r="P618" s="429"/>
      <c r="Q618" s="429"/>
      <c r="R618" s="429"/>
      <c r="S618" s="429"/>
      <c r="T618" s="429"/>
      <c r="U618" s="429"/>
      <c r="V618" s="429"/>
    </row>
    <row r="619" spans="8:22" ht="12.75">
      <c r="H619" s="232"/>
      <c r="I619" s="232"/>
      <c r="J619" s="232"/>
      <c r="K619" s="232"/>
      <c r="L619" s="232"/>
      <c r="M619" s="232"/>
      <c r="N619" s="232"/>
      <c r="O619" s="232"/>
      <c r="P619" s="429"/>
      <c r="Q619" s="429"/>
      <c r="R619" s="429"/>
      <c r="S619" s="429"/>
      <c r="T619" s="429"/>
      <c r="U619" s="429"/>
      <c r="V619" s="429"/>
    </row>
    <row r="620" spans="8:22" ht="12.75">
      <c r="H620" s="232"/>
      <c r="I620" s="232"/>
      <c r="J620" s="232"/>
      <c r="K620" s="232"/>
      <c r="L620" s="232"/>
      <c r="M620" s="232"/>
      <c r="N620" s="232"/>
      <c r="O620" s="232"/>
      <c r="P620" s="429"/>
      <c r="Q620" s="429"/>
      <c r="R620" s="429"/>
      <c r="S620" s="429"/>
      <c r="T620" s="429"/>
      <c r="U620" s="429"/>
      <c r="V620" s="429"/>
    </row>
    <row r="621" spans="8:22" ht="12.75">
      <c r="H621" s="232"/>
      <c r="I621" s="232"/>
      <c r="J621" s="232"/>
      <c r="K621" s="232"/>
      <c r="L621" s="232"/>
      <c r="M621" s="232"/>
      <c r="N621" s="232"/>
      <c r="O621" s="232"/>
      <c r="P621" s="429"/>
      <c r="Q621" s="429"/>
      <c r="R621" s="429"/>
      <c r="S621" s="429"/>
      <c r="T621" s="429"/>
      <c r="U621" s="429"/>
      <c r="V621" s="429"/>
    </row>
    <row r="622" spans="8:22" ht="12.75">
      <c r="H622" s="232"/>
      <c r="I622" s="232"/>
      <c r="J622" s="232"/>
      <c r="K622" s="232"/>
      <c r="L622" s="232"/>
      <c r="M622" s="232"/>
      <c r="N622" s="232"/>
      <c r="O622" s="232"/>
      <c r="P622" s="429"/>
      <c r="Q622" s="429"/>
      <c r="R622" s="429"/>
      <c r="S622" s="429"/>
      <c r="T622" s="429"/>
      <c r="U622" s="429"/>
      <c r="V622" s="429"/>
    </row>
    <row r="623" spans="8:22" ht="12.75">
      <c r="H623" s="232"/>
      <c r="I623" s="232"/>
      <c r="J623" s="232"/>
      <c r="K623" s="232"/>
      <c r="L623" s="232"/>
      <c r="M623" s="232"/>
      <c r="N623" s="232"/>
      <c r="O623" s="232"/>
      <c r="P623" s="429"/>
      <c r="Q623" s="429"/>
      <c r="R623" s="429"/>
      <c r="S623" s="429"/>
      <c r="T623" s="429"/>
      <c r="U623" s="429"/>
      <c r="V623" s="429"/>
    </row>
    <row r="624" spans="8:22" ht="12.75">
      <c r="H624" s="232"/>
      <c r="I624" s="232"/>
      <c r="J624" s="232"/>
      <c r="K624" s="232"/>
      <c r="L624" s="232"/>
      <c r="M624" s="232"/>
      <c r="N624" s="232"/>
      <c r="O624" s="232"/>
      <c r="P624" s="429"/>
      <c r="Q624" s="429"/>
      <c r="R624" s="429"/>
      <c r="S624" s="429"/>
      <c r="T624" s="429"/>
      <c r="U624" s="429"/>
      <c r="V624" s="429"/>
    </row>
    <row r="625" spans="8:22" ht="12.75">
      <c r="H625" s="232"/>
      <c r="I625" s="232"/>
      <c r="J625" s="232"/>
      <c r="K625" s="232"/>
      <c r="L625" s="232"/>
      <c r="M625" s="232"/>
      <c r="N625" s="232"/>
      <c r="O625" s="232"/>
      <c r="P625" s="429"/>
      <c r="Q625" s="429"/>
      <c r="R625" s="429"/>
      <c r="S625" s="429"/>
      <c r="T625" s="429"/>
      <c r="U625" s="429"/>
      <c r="V625" s="429"/>
    </row>
    <row r="626" spans="8:22" ht="12.75">
      <c r="H626" s="232"/>
      <c r="I626" s="232"/>
      <c r="J626" s="232"/>
      <c r="K626" s="232"/>
      <c r="L626" s="232"/>
      <c r="M626" s="232"/>
      <c r="N626" s="232"/>
      <c r="O626" s="232"/>
      <c r="P626" s="429"/>
      <c r="Q626" s="429"/>
      <c r="R626" s="429"/>
      <c r="S626" s="429"/>
      <c r="T626" s="429"/>
      <c r="U626" s="429"/>
      <c r="V626" s="429"/>
    </row>
    <row r="627" spans="8:22" ht="12.75">
      <c r="H627" s="232"/>
      <c r="I627" s="232"/>
      <c r="J627" s="232"/>
      <c r="K627" s="232"/>
      <c r="L627" s="232"/>
      <c r="M627" s="232"/>
      <c r="N627" s="232"/>
      <c r="O627" s="232"/>
      <c r="P627" s="429"/>
      <c r="Q627" s="429"/>
      <c r="R627" s="429"/>
      <c r="S627" s="429"/>
      <c r="T627" s="429"/>
      <c r="U627" s="429"/>
      <c r="V627" s="429"/>
    </row>
    <row r="628" spans="8:22" ht="12.75">
      <c r="H628" s="232"/>
      <c r="I628" s="232"/>
      <c r="J628" s="232"/>
      <c r="K628" s="232"/>
      <c r="L628" s="232"/>
      <c r="M628" s="232"/>
      <c r="N628" s="232"/>
      <c r="O628" s="232"/>
      <c r="P628" s="429"/>
      <c r="Q628" s="429"/>
      <c r="R628" s="429"/>
      <c r="S628" s="429"/>
      <c r="T628" s="429"/>
      <c r="U628" s="429"/>
      <c r="V628" s="429"/>
    </row>
    <row r="629" spans="8:22" ht="12.75">
      <c r="H629" s="232"/>
      <c r="I629" s="232"/>
      <c r="J629" s="232"/>
      <c r="K629" s="232"/>
      <c r="L629" s="232"/>
      <c r="M629" s="232"/>
      <c r="N629" s="232"/>
      <c r="O629" s="232"/>
      <c r="P629" s="429"/>
      <c r="Q629" s="429"/>
      <c r="R629" s="429"/>
      <c r="S629" s="429"/>
      <c r="T629" s="429"/>
      <c r="U629" s="429"/>
      <c r="V629" s="429"/>
    </row>
    <row r="630" spans="8:22" ht="12.75">
      <c r="H630" s="232"/>
      <c r="I630" s="232"/>
      <c r="J630" s="232"/>
      <c r="K630" s="232"/>
      <c r="L630" s="232"/>
      <c r="M630" s="232"/>
      <c r="N630" s="232"/>
      <c r="O630" s="232"/>
      <c r="P630" s="429"/>
      <c r="Q630" s="429"/>
      <c r="R630" s="429"/>
      <c r="S630" s="429"/>
      <c r="T630" s="429"/>
      <c r="U630" s="429"/>
      <c r="V630" s="429"/>
    </row>
    <row r="631" spans="8:22" ht="12.75">
      <c r="H631" s="232"/>
      <c r="I631" s="232"/>
      <c r="J631" s="232"/>
      <c r="K631" s="232"/>
      <c r="L631" s="232"/>
      <c r="M631" s="232"/>
      <c r="N631" s="232"/>
      <c r="O631" s="232"/>
      <c r="P631" s="429"/>
      <c r="Q631" s="429"/>
      <c r="R631" s="429"/>
      <c r="S631" s="429"/>
      <c r="T631" s="429"/>
      <c r="U631" s="429"/>
      <c r="V631" s="429"/>
    </row>
    <row r="632" spans="8:22" ht="12.75">
      <c r="H632" s="232"/>
      <c r="I632" s="232"/>
      <c r="J632" s="232"/>
      <c r="K632" s="232"/>
      <c r="L632" s="232"/>
      <c r="M632" s="232"/>
      <c r="N632" s="232"/>
      <c r="O632" s="232"/>
      <c r="P632" s="429"/>
      <c r="Q632" s="429"/>
      <c r="R632" s="429"/>
      <c r="S632" s="429"/>
      <c r="T632" s="429"/>
      <c r="U632" s="429"/>
      <c r="V632" s="429"/>
    </row>
    <row r="633" spans="8:22" ht="12.75">
      <c r="H633" s="232"/>
      <c r="I633" s="232"/>
      <c r="J633" s="232"/>
      <c r="K633" s="232"/>
      <c r="L633" s="232"/>
      <c r="M633" s="232"/>
      <c r="N633" s="232"/>
      <c r="O633" s="232"/>
      <c r="P633" s="429"/>
      <c r="Q633" s="429"/>
      <c r="R633" s="429"/>
      <c r="S633" s="429"/>
      <c r="T633" s="429"/>
      <c r="U633" s="429"/>
      <c r="V633" s="429"/>
    </row>
    <row r="634" spans="8:22" ht="12.75">
      <c r="H634" s="232"/>
      <c r="I634" s="232"/>
      <c r="J634" s="232"/>
      <c r="K634" s="232"/>
      <c r="L634" s="232"/>
      <c r="M634" s="232"/>
      <c r="N634" s="232"/>
      <c r="O634" s="232"/>
      <c r="P634" s="429"/>
      <c r="Q634" s="429"/>
      <c r="R634" s="429"/>
      <c r="S634" s="429"/>
      <c r="T634" s="429"/>
      <c r="U634" s="429"/>
      <c r="V634" s="429"/>
    </row>
    <row r="635" spans="8:22" ht="12.75">
      <c r="H635" s="232"/>
      <c r="I635" s="232"/>
      <c r="J635" s="232"/>
      <c r="K635" s="232"/>
      <c r="L635" s="232"/>
      <c r="M635" s="232"/>
      <c r="N635" s="232"/>
      <c r="O635" s="232"/>
      <c r="P635" s="429"/>
      <c r="Q635" s="429"/>
      <c r="R635" s="429"/>
      <c r="S635" s="429"/>
      <c r="T635" s="429"/>
      <c r="U635" s="429"/>
      <c r="V635" s="429"/>
    </row>
    <row r="636" spans="8:22" ht="12.75">
      <c r="H636" s="232"/>
      <c r="I636" s="232"/>
      <c r="J636" s="232"/>
      <c r="K636" s="232"/>
      <c r="L636" s="232"/>
      <c r="M636" s="232"/>
      <c r="N636" s="232"/>
      <c r="O636" s="232"/>
      <c r="P636" s="429"/>
      <c r="Q636" s="429"/>
      <c r="R636" s="429"/>
      <c r="S636" s="429"/>
      <c r="T636" s="429"/>
      <c r="U636" s="429"/>
      <c r="V636" s="429"/>
    </row>
    <row r="637" spans="8:22" ht="12.75">
      <c r="H637" s="232"/>
      <c r="I637" s="232"/>
      <c r="J637" s="232"/>
      <c r="K637" s="232"/>
      <c r="L637" s="232"/>
      <c r="M637" s="232"/>
      <c r="N637" s="232"/>
      <c r="O637" s="232"/>
      <c r="P637" s="429"/>
      <c r="Q637" s="429"/>
      <c r="R637" s="429"/>
      <c r="S637" s="429"/>
      <c r="T637" s="429"/>
      <c r="U637" s="429"/>
      <c r="V637" s="429"/>
    </row>
    <row r="638" spans="8:22" ht="12.75">
      <c r="H638" s="232"/>
      <c r="I638" s="232"/>
      <c r="J638" s="232"/>
      <c r="K638" s="232"/>
      <c r="L638" s="232"/>
      <c r="M638" s="232"/>
      <c r="N638" s="232"/>
      <c r="O638" s="232"/>
      <c r="P638" s="429"/>
      <c r="Q638" s="429"/>
      <c r="R638" s="429"/>
      <c r="S638" s="429"/>
      <c r="T638" s="429"/>
      <c r="U638" s="429"/>
      <c r="V638" s="429"/>
    </row>
    <row r="639" spans="8:22" ht="12.75">
      <c r="H639" s="232"/>
      <c r="I639" s="232"/>
      <c r="J639" s="232"/>
      <c r="K639" s="232"/>
      <c r="L639" s="232"/>
      <c r="M639" s="232"/>
      <c r="N639" s="232"/>
      <c r="O639" s="232"/>
      <c r="P639" s="429"/>
      <c r="Q639" s="429"/>
      <c r="R639" s="429"/>
      <c r="S639" s="429"/>
      <c r="T639" s="429"/>
      <c r="U639" s="429"/>
      <c r="V639" s="429"/>
    </row>
    <row r="640" spans="8:22" ht="12.75">
      <c r="H640" s="232"/>
      <c r="I640" s="232"/>
      <c r="J640" s="232"/>
      <c r="K640" s="232"/>
      <c r="L640" s="232"/>
      <c r="M640" s="232"/>
      <c r="N640" s="232"/>
      <c r="O640" s="232"/>
      <c r="P640" s="429"/>
      <c r="Q640" s="429"/>
      <c r="R640" s="429"/>
      <c r="S640" s="429"/>
      <c r="T640" s="429"/>
      <c r="U640" s="429"/>
      <c r="V640" s="429"/>
    </row>
    <row r="641" spans="8:22" ht="12.75">
      <c r="H641" s="232"/>
      <c r="I641" s="232"/>
      <c r="J641" s="232"/>
      <c r="K641" s="232"/>
      <c r="L641" s="232"/>
      <c r="M641" s="232"/>
      <c r="N641" s="232"/>
      <c r="O641" s="232"/>
      <c r="P641" s="429"/>
      <c r="Q641" s="429"/>
      <c r="R641" s="429"/>
      <c r="S641" s="429"/>
      <c r="T641" s="429"/>
      <c r="U641" s="429"/>
      <c r="V641" s="429"/>
    </row>
    <row r="642" spans="8:22" ht="12.75">
      <c r="H642" s="232"/>
      <c r="I642" s="232"/>
      <c r="J642" s="232"/>
      <c r="K642" s="232"/>
      <c r="L642" s="232"/>
      <c r="M642" s="232"/>
      <c r="N642" s="232"/>
      <c r="O642" s="232"/>
      <c r="P642" s="429"/>
      <c r="Q642" s="429"/>
      <c r="R642" s="429"/>
      <c r="S642" s="429"/>
      <c r="T642" s="429"/>
      <c r="U642" s="429"/>
      <c r="V642" s="429"/>
    </row>
    <row r="643" spans="8:22" ht="12.75">
      <c r="H643" s="232"/>
      <c r="I643" s="232"/>
      <c r="J643" s="232"/>
      <c r="K643" s="232"/>
      <c r="L643" s="232"/>
      <c r="M643" s="232"/>
      <c r="N643" s="232"/>
      <c r="O643" s="232"/>
      <c r="P643" s="429"/>
      <c r="Q643" s="429"/>
      <c r="R643" s="429"/>
      <c r="S643" s="429"/>
      <c r="T643" s="429"/>
      <c r="U643" s="429"/>
      <c r="V643" s="429"/>
    </row>
    <row r="644" spans="8:22" ht="12.75">
      <c r="H644" s="232"/>
      <c r="I644" s="232"/>
      <c r="J644" s="232"/>
      <c r="K644" s="232"/>
      <c r="L644" s="232"/>
      <c r="M644" s="232"/>
      <c r="N644" s="232"/>
      <c r="O644" s="232"/>
      <c r="P644" s="429"/>
      <c r="Q644" s="429"/>
      <c r="R644" s="429"/>
      <c r="S644" s="429"/>
      <c r="T644" s="429"/>
      <c r="U644" s="429"/>
      <c r="V644" s="429"/>
    </row>
    <row r="645" spans="8:22" ht="12.75">
      <c r="H645" s="232"/>
      <c r="I645" s="232"/>
      <c r="J645" s="232"/>
      <c r="K645" s="232"/>
      <c r="L645" s="232"/>
      <c r="M645" s="232"/>
      <c r="N645" s="232"/>
      <c r="O645" s="232"/>
      <c r="P645" s="429"/>
      <c r="Q645" s="429"/>
      <c r="R645" s="429"/>
      <c r="S645" s="429"/>
      <c r="T645" s="429"/>
      <c r="U645" s="429"/>
      <c r="V645" s="429"/>
    </row>
    <row r="646" spans="8:22" ht="12.75">
      <c r="H646" s="232"/>
      <c r="I646" s="232"/>
      <c r="J646" s="232"/>
      <c r="K646" s="232"/>
      <c r="L646" s="232"/>
      <c r="M646" s="232"/>
      <c r="N646" s="232"/>
      <c r="O646" s="232"/>
      <c r="P646" s="429"/>
      <c r="Q646" s="429"/>
      <c r="R646" s="429"/>
      <c r="S646" s="429"/>
      <c r="T646" s="429"/>
      <c r="U646" s="429"/>
      <c r="V646" s="429"/>
    </row>
    <row r="647" spans="8:22" ht="12.75">
      <c r="H647" s="232"/>
      <c r="I647" s="232"/>
      <c r="J647" s="232"/>
      <c r="K647" s="232"/>
      <c r="L647" s="232"/>
      <c r="M647" s="232"/>
      <c r="N647" s="232"/>
      <c r="O647" s="232"/>
      <c r="P647" s="429"/>
      <c r="Q647" s="429"/>
      <c r="R647" s="429"/>
      <c r="S647" s="429"/>
      <c r="T647" s="429"/>
      <c r="U647" s="429"/>
      <c r="V647" s="429"/>
    </row>
    <row r="648" spans="8:22" ht="12.75">
      <c r="H648" s="232"/>
      <c r="I648" s="232"/>
      <c r="J648" s="232"/>
      <c r="K648" s="232"/>
      <c r="L648" s="232"/>
      <c r="M648" s="232"/>
      <c r="N648" s="232"/>
      <c r="O648" s="232"/>
      <c r="P648" s="429"/>
      <c r="Q648" s="429"/>
      <c r="R648" s="429"/>
      <c r="S648" s="429"/>
      <c r="T648" s="429"/>
      <c r="U648" s="429"/>
      <c r="V648" s="429"/>
    </row>
    <row r="649" spans="8:22" ht="12.75">
      <c r="H649" s="232"/>
      <c r="I649" s="232"/>
      <c r="J649" s="232"/>
      <c r="K649" s="232"/>
      <c r="L649" s="232"/>
      <c r="M649" s="232"/>
      <c r="N649" s="232"/>
      <c r="O649" s="232"/>
      <c r="P649" s="429"/>
      <c r="Q649" s="429"/>
      <c r="R649" s="429"/>
      <c r="S649" s="429"/>
      <c r="T649" s="429"/>
      <c r="U649" s="429"/>
      <c r="V649" s="429"/>
    </row>
    <row r="650" spans="8:22" ht="12.75">
      <c r="H650" s="232"/>
      <c r="I650" s="232"/>
      <c r="J650" s="232"/>
      <c r="K650" s="232"/>
      <c r="L650" s="232"/>
      <c r="M650" s="232"/>
      <c r="N650" s="232"/>
      <c r="O650" s="232"/>
      <c r="P650" s="429"/>
      <c r="Q650" s="429"/>
      <c r="R650" s="429"/>
      <c r="S650" s="429"/>
      <c r="T650" s="429"/>
      <c r="U650" s="429"/>
      <c r="V650" s="429"/>
    </row>
    <row r="651" spans="8:22" ht="12.75">
      <c r="H651" s="232"/>
      <c r="I651" s="232"/>
      <c r="J651" s="232"/>
      <c r="K651" s="232"/>
      <c r="L651" s="232"/>
      <c r="M651" s="232"/>
      <c r="N651" s="232"/>
      <c r="O651" s="232"/>
      <c r="P651" s="429"/>
      <c r="Q651" s="429"/>
      <c r="R651" s="429"/>
      <c r="S651" s="429"/>
      <c r="T651" s="429"/>
      <c r="U651" s="429"/>
      <c r="V651" s="429"/>
    </row>
    <row r="652" spans="8:22" ht="12.75">
      <c r="H652" s="232"/>
      <c r="I652" s="232"/>
      <c r="J652" s="232"/>
      <c r="K652" s="232"/>
      <c r="L652" s="232"/>
      <c r="M652" s="232"/>
      <c r="N652" s="232"/>
      <c r="O652" s="232"/>
      <c r="P652" s="429"/>
      <c r="Q652" s="429"/>
      <c r="R652" s="429"/>
      <c r="S652" s="429"/>
      <c r="T652" s="429"/>
      <c r="U652" s="429"/>
      <c r="V652" s="429"/>
    </row>
    <row r="653" spans="8:22" ht="12.75">
      <c r="H653" s="232"/>
      <c r="I653" s="232"/>
      <c r="J653" s="232"/>
      <c r="K653" s="232"/>
      <c r="L653" s="232"/>
      <c r="M653" s="232"/>
      <c r="N653" s="232"/>
      <c r="O653" s="232"/>
      <c r="P653" s="429"/>
      <c r="Q653" s="429"/>
      <c r="R653" s="429"/>
      <c r="S653" s="429"/>
      <c r="T653" s="429"/>
      <c r="U653" s="429"/>
      <c r="V653" s="429"/>
    </row>
    <row r="654" spans="8:22" ht="12.75">
      <c r="H654" s="232"/>
      <c r="I654" s="232"/>
      <c r="J654" s="232"/>
      <c r="K654" s="232"/>
      <c r="L654" s="232"/>
      <c r="M654" s="232"/>
      <c r="N654" s="232"/>
      <c r="O654" s="232"/>
      <c r="P654" s="429"/>
      <c r="Q654" s="429"/>
      <c r="R654" s="429"/>
      <c r="S654" s="429"/>
      <c r="T654" s="429"/>
      <c r="U654" s="429"/>
      <c r="V654" s="429"/>
    </row>
    <row r="655" spans="8:22" ht="12.75">
      <c r="H655" s="232"/>
      <c r="I655" s="232"/>
      <c r="J655" s="232"/>
      <c r="K655" s="232"/>
      <c r="L655" s="232"/>
      <c r="M655" s="232"/>
      <c r="N655" s="232"/>
      <c r="O655" s="232"/>
      <c r="P655" s="429"/>
      <c r="Q655" s="429"/>
      <c r="R655" s="429"/>
      <c r="S655" s="429"/>
      <c r="T655" s="429"/>
      <c r="U655" s="429"/>
      <c r="V655" s="429"/>
    </row>
    <row r="656" spans="8:22" ht="12.75">
      <c r="H656" s="232"/>
      <c r="I656" s="232"/>
      <c r="J656" s="232"/>
      <c r="K656" s="232"/>
      <c r="L656" s="232"/>
      <c r="M656" s="232"/>
      <c r="N656" s="232"/>
      <c r="O656" s="232"/>
      <c r="P656" s="429"/>
      <c r="Q656" s="429"/>
      <c r="R656" s="429"/>
      <c r="S656" s="429"/>
      <c r="T656" s="429"/>
      <c r="U656" s="429"/>
      <c r="V656" s="429"/>
    </row>
    <row r="657" spans="8:22" ht="12.75">
      <c r="H657" s="232"/>
      <c r="I657" s="232"/>
      <c r="J657" s="232"/>
      <c r="K657" s="232"/>
      <c r="L657" s="232"/>
      <c r="M657" s="232"/>
      <c r="N657" s="232"/>
      <c r="O657" s="232"/>
      <c r="P657" s="429"/>
      <c r="Q657" s="429"/>
      <c r="R657" s="429"/>
      <c r="S657" s="429"/>
      <c r="T657" s="429"/>
      <c r="U657" s="429"/>
      <c r="V657" s="429"/>
    </row>
    <row r="658" spans="8:22" ht="12.75">
      <c r="H658" s="232"/>
      <c r="I658" s="232"/>
      <c r="J658" s="232"/>
      <c r="K658" s="232"/>
      <c r="L658" s="232"/>
      <c r="M658" s="232"/>
      <c r="N658" s="232"/>
      <c r="O658" s="232"/>
      <c r="P658" s="429"/>
      <c r="Q658" s="429"/>
      <c r="R658" s="429"/>
      <c r="S658" s="429"/>
      <c r="T658" s="429"/>
      <c r="U658" s="429"/>
      <c r="V658" s="429"/>
    </row>
    <row r="659" spans="8:22" ht="12.75">
      <c r="H659" s="232"/>
      <c r="I659" s="232"/>
      <c r="J659" s="232"/>
      <c r="K659" s="232"/>
      <c r="L659" s="232"/>
      <c r="M659" s="232"/>
      <c r="N659" s="232"/>
      <c r="O659" s="232"/>
      <c r="P659" s="429"/>
      <c r="Q659" s="429"/>
      <c r="R659" s="429"/>
      <c r="S659" s="429"/>
      <c r="T659" s="429"/>
      <c r="U659" s="429"/>
      <c r="V659" s="429"/>
    </row>
    <row r="660" spans="8:22" ht="12.75">
      <c r="H660" s="232"/>
      <c r="I660" s="232"/>
      <c r="J660" s="232"/>
      <c r="K660" s="232"/>
      <c r="L660" s="232"/>
      <c r="M660" s="232"/>
      <c r="N660" s="232"/>
      <c r="O660" s="232"/>
      <c r="P660" s="429"/>
      <c r="Q660" s="429"/>
      <c r="R660" s="429"/>
      <c r="S660" s="429"/>
      <c r="T660" s="429"/>
      <c r="U660" s="429"/>
      <c r="V660" s="429"/>
    </row>
    <row r="661" spans="8:22" ht="12.75">
      <c r="H661" s="232"/>
      <c r="I661" s="232"/>
      <c r="J661" s="232"/>
      <c r="K661" s="232"/>
      <c r="L661" s="232"/>
      <c r="M661" s="414"/>
      <c r="N661" s="423"/>
      <c r="O661" s="232"/>
      <c r="P661" s="426"/>
      <c r="Q661" s="426"/>
      <c r="R661" s="426"/>
      <c r="S661" s="426"/>
      <c r="T661" s="429"/>
      <c r="U661" s="426"/>
      <c r="V661" s="426"/>
    </row>
    <row r="662" spans="8:22" ht="12.75">
      <c r="H662" s="232"/>
      <c r="I662" s="232"/>
      <c r="J662" s="232"/>
      <c r="K662" s="232"/>
      <c r="L662" s="232"/>
      <c r="M662" s="414"/>
      <c r="N662" s="423"/>
      <c r="O662" s="232"/>
      <c r="P662" s="426"/>
      <c r="Q662" s="426"/>
      <c r="R662" s="426"/>
      <c r="S662" s="426"/>
      <c r="T662" s="429"/>
      <c r="U662" s="426"/>
      <c r="V662" s="426"/>
    </row>
    <row r="663" spans="8:22" ht="12.75">
      <c r="H663" s="232"/>
      <c r="I663" s="232"/>
      <c r="J663" s="232"/>
      <c r="K663" s="232"/>
      <c r="L663" s="232"/>
      <c r="M663" s="414"/>
      <c r="N663" s="423"/>
      <c r="O663" s="232"/>
      <c r="P663" s="426"/>
      <c r="Q663" s="426"/>
      <c r="R663" s="426"/>
      <c r="S663" s="426"/>
      <c r="T663" s="429"/>
      <c r="U663" s="426"/>
      <c r="V663" s="426"/>
    </row>
    <row r="664" spans="8:22" ht="12.75">
      <c r="H664" s="232"/>
      <c r="I664" s="232"/>
      <c r="J664" s="232"/>
      <c r="K664" s="232"/>
      <c r="L664" s="232"/>
      <c r="M664" s="414"/>
      <c r="N664" s="423"/>
      <c r="O664" s="232"/>
      <c r="P664" s="426"/>
      <c r="Q664" s="426"/>
      <c r="R664" s="426"/>
      <c r="S664" s="426"/>
      <c r="T664" s="429"/>
      <c r="U664" s="426"/>
      <c r="V664" s="426"/>
    </row>
    <row r="665" spans="8:22" ht="12.75">
      <c r="H665" s="232"/>
      <c r="I665" s="232"/>
      <c r="J665" s="232"/>
      <c r="K665" s="232"/>
      <c r="L665" s="232"/>
      <c r="M665" s="414"/>
      <c r="N665" s="423"/>
      <c r="O665" s="232"/>
      <c r="P665" s="426"/>
      <c r="Q665" s="426"/>
      <c r="R665" s="426"/>
      <c r="S665" s="426"/>
      <c r="T665" s="429"/>
      <c r="U665" s="426"/>
      <c r="V665" s="426"/>
    </row>
    <row r="666" spans="8:22" ht="12.75">
      <c r="H666" s="232"/>
      <c r="I666" s="232"/>
      <c r="J666" s="232"/>
      <c r="K666" s="232"/>
      <c r="L666" s="232"/>
      <c r="M666" s="414"/>
      <c r="N666" s="423"/>
      <c r="O666" s="232"/>
      <c r="P666" s="426"/>
      <c r="Q666" s="426"/>
      <c r="R666" s="426"/>
      <c r="S666" s="426"/>
      <c r="T666" s="429"/>
      <c r="U666" s="426"/>
      <c r="V666" s="426"/>
    </row>
    <row r="667" spans="8:22" ht="12.75">
      <c r="H667" s="232"/>
      <c r="I667" s="232"/>
      <c r="J667" s="232"/>
      <c r="K667" s="232"/>
      <c r="L667" s="232"/>
      <c r="M667" s="414"/>
      <c r="N667" s="423"/>
      <c r="O667" s="232"/>
      <c r="P667" s="426"/>
      <c r="Q667" s="426"/>
      <c r="R667" s="426"/>
      <c r="S667" s="426"/>
      <c r="T667" s="429"/>
      <c r="U667" s="426"/>
      <c r="V667" s="426"/>
    </row>
    <row r="668" spans="8:22" ht="12.75">
      <c r="H668" s="232"/>
      <c r="I668" s="232"/>
      <c r="J668" s="232"/>
      <c r="K668" s="232"/>
      <c r="L668" s="232"/>
      <c r="M668" s="414"/>
      <c r="N668" s="423"/>
      <c r="O668" s="232"/>
      <c r="P668" s="426"/>
      <c r="Q668" s="426"/>
      <c r="R668" s="426"/>
      <c r="S668" s="426"/>
      <c r="T668" s="429"/>
      <c r="U668" s="426"/>
      <c r="V668" s="426"/>
    </row>
    <row r="669" spans="8:22" ht="12.75">
      <c r="H669" s="232"/>
      <c r="I669" s="232"/>
      <c r="J669" s="232"/>
      <c r="K669" s="232"/>
      <c r="L669" s="232"/>
      <c r="M669" s="414"/>
      <c r="N669" s="423"/>
      <c r="O669" s="232"/>
      <c r="P669" s="426"/>
      <c r="Q669" s="426"/>
      <c r="R669" s="426"/>
      <c r="S669" s="426"/>
      <c r="T669" s="429"/>
      <c r="U669" s="426"/>
      <c r="V669" s="426"/>
    </row>
    <row r="670" spans="8:22" ht="12.75">
      <c r="H670" s="232"/>
      <c r="I670" s="232"/>
      <c r="J670" s="232"/>
      <c r="K670" s="232"/>
      <c r="L670" s="232"/>
      <c r="M670" s="414"/>
      <c r="N670" s="423"/>
      <c r="O670" s="232"/>
      <c r="P670" s="426"/>
      <c r="Q670" s="426"/>
      <c r="R670" s="426"/>
      <c r="S670" s="426"/>
      <c r="T670" s="429"/>
      <c r="U670" s="426"/>
      <c r="V670" s="426"/>
    </row>
    <row r="671" spans="8:22" ht="12.75">
      <c r="H671" s="232"/>
      <c r="I671" s="232"/>
      <c r="J671" s="232"/>
      <c r="K671" s="232"/>
      <c r="L671" s="232"/>
      <c r="M671" s="414"/>
      <c r="N671" s="423"/>
      <c r="O671" s="232"/>
      <c r="P671" s="426"/>
      <c r="Q671" s="426"/>
      <c r="R671" s="426"/>
      <c r="S671" s="426"/>
      <c r="T671" s="429"/>
      <c r="U671" s="426"/>
      <c r="V671" s="426"/>
    </row>
    <row r="672" spans="8:22" ht="12.75">
      <c r="H672" s="232"/>
      <c r="I672" s="232"/>
      <c r="J672" s="232"/>
      <c r="K672" s="232"/>
      <c r="L672" s="232"/>
      <c r="M672" s="414"/>
      <c r="N672" s="423"/>
      <c r="O672" s="232"/>
      <c r="P672" s="426"/>
      <c r="Q672" s="426"/>
      <c r="R672" s="426"/>
      <c r="S672" s="426"/>
      <c r="T672" s="429"/>
      <c r="U672" s="426"/>
      <c r="V672" s="426"/>
    </row>
    <row r="673" spans="8:22" ht="12.75">
      <c r="H673" s="232"/>
      <c r="I673" s="232"/>
      <c r="J673" s="232"/>
      <c r="K673" s="232"/>
      <c r="L673" s="232"/>
      <c r="M673" s="414"/>
      <c r="N673" s="423"/>
      <c r="O673" s="232"/>
      <c r="P673" s="426"/>
      <c r="Q673" s="426"/>
      <c r="R673" s="426"/>
      <c r="S673" s="426"/>
      <c r="T673" s="429"/>
      <c r="U673" s="426"/>
      <c r="V673" s="426"/>
    </row>
    <row r="674" spans="8:22" ht="12.75">
      <c r="H674" s="232"/>
      <c r="I674" s="232"/>
      <c r="J674" s="232"/>
      <c r="K674" s="232"/>
      <c r="L674" s="232"/>
      <c r="M674" s="414"/>
      <c r="N674" s="423"/>
      <c r="O674" s="232"/>
      <c r="P674" s="426"/>
      <c r="Q674" s="426"/>
      <c r="R674" s="426"/>
      <c r="S674" s="426"/>
      <c r="T674" s="429"/>
      <c r="U674" s="426"/>
      <c r="V674" s="426"/>
    </row>
    <row r="675" spans="8:22" ht="12.75">
      <c r="H675" s="232"/>
      <c r="I675" s="232"/>
      <c r="J675" s="232"/>
      <c r="K675" s="232"/>
      <c r="L675" s="232"/>
      <c r="M675" s="414"/>
      <c r="N675" s="423"/>
      <c r="O675" s="232"/>
      <c r="P675" s="426"/>
      <c r="Q675" s="426"/>
      <c r="R675" s="426"/>
      <c r="S675" s="426"/>
      <c r="T675" s="429"/>
      <c r="U675" s="426"/>
      <c r="V675" s="426"/>
    </row>
    <row r="676" spans="8:22" ht="12.75">
      <c r="H676" s="232"/>
      <c r="I676" s="232"/>
      <c r="J676" s="232"/>
      <c r="K676" s="232"/>
      <c r="L676" s="232"/>
      <c r="M676" s="414"/>
      <c r="N676" s="423"/>
      <c r="O676" s="232"/>
      <c r="P676" s="426"/>
      <c r="Q676" s="426"/>
      <c r="R676" s="426"/>
      <c r="S676" s="426"/>
      <c r="T676" s="429"/>
      <c r="U676" s="426"/>
      <c r="V676" s="426"/>
    </row>
    <row r="677" spans="8:22" ht="12.75">
      <c r="H677" s="232"/>
      <c r="I677" s="232"/>
      <c r="J677" s="232"/>
      <c r="K677" s="232"/>
      <c r="L677" s="232"/>
      <c r="M677" s="414"/>
      <c r="N677" s="423"/>
      <c r="O677" s="232"/>
      <c r="P677" s="426"/>
      <c r="Q677" s="426"/>
      <c r="R677" s="426"/>
      <c r="S677" s="426"/>
      <c r="T677" s="429"/>
      <c r="U677" s="426"/>
      <c r="V677" s="426"/>
    </row>
  </sheetData>
  <dataValidations count="3">
    <dataValidation type="list" allowBlank="1" showInputMessage="1" showErrorMessage="1" prompt="Choose from list" sqref="C37">
      <formula1>$A$37:$A$79</formula1>
    </dataValidation>
    <dataValidation type="list" allowBlank="1" showInputMessage="1" showErrorMessage="1" prompt="Choose a machine type from the list&#10;" error="You must select an existing tool name&#10;" sqref="J2:J36 J48:J62 J80:J84 J102:J163 J277:J346 J460:J529 J643:J900">
      <formula1>$A$37:$A$79</formula1>
    </dataValidation>
    <dataValidation type="list" allowBlank="1" showInputMessage="1" showErrorMessage="1" prompt="Choose the mask name from the list&#10;" sqref="K2:K36 K48:K62 K80:K84 K277:K346 K102:K163 K460:K529 K643:K677">
      <formula1>$B$37:$B$40</formula1>
    </dataValidation>
  </dataValidations>
  <printOptions/>
  <pageMargins left="0.75" right="0.75" top="1" bottom="1" header="0.5" footer="0.5"/>
  <pageSetup horizontalDpi="600" verticalDpi="600" orientation="portrait" r:id="rId2"/>
  <legacyDrawing r:id="rId1"/>
</worksheet>
</file>

<file path=xl/worksheets/sheet4.xml><?xml version="1.0" encoding="utf-8"?>
<worksheet xmlns="http://schemas.openxmlformats.org/spreadsheetml/2006/main" xmlns:r="http://schemas.openxmlformats.org/officeDocument/2006/relationships">
  <sheetPr codeName="Sheet21"/>
  <dimension ref="A1:EH95"/>
  <sheetViews>
    <sheetView zoomScale="75" zoomScaleNormal="75" workbookViewId="0" topLeftCell="A1">
      <selection activeCell="F6" sqref="F6:F48"/>
    </sheetView>
  </sheetViews>
  <sheetFormatPr defaultColWidth="9.140625" defaultRowHeight="12.75"/>
  <cols>
    <col min="1" max="1" width="26.00390625" style="0" customWidth="1"/>
    <col min="3" max="3" width="10.28125" style="0" customWidth="1"/>
    <col min="4" max="4" width="13.421875" style="0" customWidth="1"/>
    <col min="5" max="5" width="17.7109375" style="0" customWidth="1"/>
    <col min="6" max="6" width="10.57421875" style="0" bestFit="1" customWidth="1"/>
    <col min="7" max="7" width="8.8515625" style="0" customWidth="1"/>
    <col min="13" max="13" width="22.00390625" style="0" customWidth="1"/>
    <col min="14" max="14" width="19.140625" style="0" customWidth="1"/>
    <col min="22" max="22" width="11.57421875" style="0" customWidth="1"/>
    <col min="23" max="23" width="11.140625" style="7" customWidth="1"/>
    <col min="24" max="24" width="32.57421875" style="0" customWidth="1"/>
    <col min="28" max="28" width="10.421875" style="0" customWidth="1"/>
    <col min="32" max="32" width="11.421875" style="0" customWidth="1"/>
    <col min="33" max="33" width="5.140625" style="0" customWidth="1"/>
    <col min="34" max="34" width="31.7109375" style="0" customWidth="1"/>
    <col min="35" max="38" width="9.28125" style="0" bestFit="1" customWidth="1"/>
    <col min="39" max="41" width="11.57421875" style="0" bestFit="1" customWidth="1"/>
    <col min="42" max="42" width="11.421875" style="0" customWidth="1"/>
    <col min="44" max="44" width="8.140625" style="0" customWidth="1"/>
    <col min="45" max="45" width="5.140625" style="0" customWidth="1"/>
    <col min="46" max="46" width="16.28125" style="0" bestFit="1" customWidth="1"/>
    <col min="47" max="47" width="10.28125" style="0" customWidth="1"/>
    <col min="48" max="50" width="9.28125" style="0" bestFit="1" customWidth="1"/>
    <col min="51" max="51" width="15.140625" style="0" bestFit="1" customWidth="1"/>
    <col min="52" max="52" width="6.140625" style="0" customWidth="1"/>
    <col min="53" max="53" width="16.28125" style="0" bestFit="1" customWidth="1"/>
    <col min="54" max="54" width="13.00390625" style="0" customWidth="1"/>
    <col min="55" max="55" width="10.8515625" style="0" customWidth="1"/>
    <col min="56" max="56" width="9.7109375" style="0" customWidth="1"/>
    <col min="57" max="57" width="8.57421875" style="0" customWidth="1"/>
    <col min="58" max="58" width="10.7109375" style="0" customWidth="1"/>
    <col min="59" max="59" width="13.28125" style="0" customWidth="1"/>
    <col min="60" max="60" width="5.8515625" style="0" customWidth="1"/>
    <col min="61" max="61" width="24.28125" style="0" customWidth="1"/>
    <col min="62" max="62" width="10.7109375" style="0" customWidth="1"/>
    <col min="63" max="65" width="11.00390625" style="0" bestFit="1" customWidth="1"/>
    <col min="66" max="66" width="12.8515625" style="0" customWidth="1"/>
    <col min="67" max="67" width="13.28125" style="0" customWidth="1"/>
    <col min="68" max="68" width="7.28125" style="0" customWidth="1"/>
    <col min="69" max="69" width="16.57421875" style="0" customWidth="1"/>
    <col min="70" max="70" width="10.8515625" style="0" customWidth="1"/>
    <col min="71" max="71" width="10.28125" style="0" customWidth="1"/>
    <col min="72" max="72" width="10.7109375" style="0" customWidth="1"/>
    <col min="73" max="73" width="11.140625" style="0" customWidth="1"/>
    <col min="74" max="75" width="11.57421875" style="0" customWidth="1"/>
    <col min="76" max="76" width="15.8515625" style="0" customWidth="1"/>
    <col min="77" max="77" width="18.7109375" style="0" customWidth="1"/>
    <col min="78" max="78" width="6.00390625" style="0" customWidth="1"/>
    <col min="79" max="79" width="18.140625" style="0" customWidth="1"/>
    <col min="80" max="80" width="13.421875" style="0" customWidth="1"/>
    <col min="81" max="81" width="12.140625" style="0" customWidth="1"/>
    <col min="82" max="82" width="16.00390625" style="0" customWidth="1"/>
    <col min="84" max="84" width="18.7109375" style="0" customWidth="1"/>
    <col min="85" max="85" width="10.8515625" style="0" customWidth="1"/>
    <col min="88" max="88" width="10.00390625" style="0" bestFit="1" customWidth="1"/>
    <col min="97" max="97" width="17.57421875" style="0" customWidth="1"/>
    <col min="99" max="99" width="11.00390625" style="0" bestFit="1" customWidth="1"/>
  </cols>
  <sheetData>
    <row r="1" spans="1:97" ht="13.5" thickBot="1">
      <c r="A1" s="173" t="s">
        <v>228</v>
      </c>
      <c r="E1" s="6" t="s">
        <v>213</v>
      </c>
      <c r="G1" s="79"/>
      <c r="M1" s="6" t="s">
        <v>214</v>
      </c>
      <c r="N1" s="39" t="s">
        <v>69</v>
      </c>
      <c r="O1" s="40" t="s">
        <v>70</v>
      </c>
      <c r="P1" s="41"/>
      <c r="Q1" s="42" t="s">
        <v>71</v>
      </c>
      <c r="R1" s="42"/>
      <c r="S1" s="40" t="s">
        <v>72</v>
      </c>
      <c r="T1" s="41"/>
      <c r="U1" s="42" t="s">
        <v>73</v>
      </c>
      <c r="V1" s="43"/>
      <c r="X1" s="49" t="s">
        <v>120</v>
      </c>
      <c r="Y1" s="28" t="s">
        <v>70</v>
      </c>
      <c r="Z1" s="10"/>
      <c r="AA1" s="28" t="s">
        <v>71</v>
      </c>
      <c r="AB1" s="32"/>
      <c r="AC1" s="10" t="s">
        <v>72</v>
      </c>
      <c r="AD1" s="10"/>
      <c r="AE1" s="28" t="s">
        <v>73</v>
      </c>
      <c r="AF1" s="11"/>
      <c r="AH1" s="49" t="s">
        <v>122</v>
      </c>
      <c r="AI1" s="26" t="s">
        <v>70</v>
      </c>
      <c r="AJ1" s="10"/>
      <c r="AK1" s="28" t="s">
        <v>71</v>
      </c>
      <c r="AL1" s="32"/>
      <c r="AM1" s="10" t="s">
        <v>72</v>
      </c>
      <c r="AN1" s="10"/>
      <c r="AO1" s="28" t="s">
        <v>73</v>
      </c>
      <c r="AP1" s="11"/>
      <c r="AS1" s="6"/>
      <c r="AT1" s="49" t="s">
        <v>151</v>
      </c>
      <c r="AU1" s="28" t="s">
        <v>146</v>
      </c>
      <c r="AV1" s="10"/>
      <c r="AW1" s="10"/>
      <c r="AX1" s="11"/>
      <c r="AZ1" s="6"/>
      <c r="BA1" s="49" t="s">
        <v>152</v>
      </c>
      <c r="BB1" s="28" t="s">
        <v>146</v>
      </c>
      <c r="BC1" s="10"/>
      <c r="BD1" s="10"/>
      <c r="BE1" s="11"/>
      <c r="BF1" s="26" t="s">
        <v>147</v>
      </c>
      <c r="BG1" s="69" t="s">
        <v>148</v>
      </c>
      <c r="BH1" s="6"/>
      <c r="BI1" s="49" t="s">
        <v>153</v>
      </c>
      <c r="BJ1" s="28" t="s">
        <v>146</v>
      </c>
      <c r="BK1" s="10"/>
      <c r="BL1" s="10"/>
      <c r="BM1" s="10"/>
      <c r="BN1" s="69" t="s">
        <v>147</v>
      </c>
      <c r="BO1" s="11" t="s">
        <v>148</v>
      </c>
      <c r="BP1" s="6"/>
      <c r="BQ1" s="49" t="s">
        <v>153</v>
      </c>
      <c r="BR1" s="28" t="s">
        <v>146</v>
      </c>
      <c r="BS1" s="10"/>
      <c r="BT1" s="10"/>
      <c r="BU1" s="10"/>
      <c r="BV1" s="69" t="s">
        <v>147</v>
      </c>
      <c r="BW1" s="11" t="s">
        <v>148</v>
      </c>
      <c r="CS1" s="6"/>
    </row>
    <row r="2" spans="6:75" ht="13.5" thickBot="1">
      <c r="F2" s="3"/>
      <c r="G2" s="4"/>
      <c r="H2" s="26" t="s">
        <v>117</v>
      </c>
      <c r="I2" s="17"/>
      <c r="J2" s="17"/>
      <c r="K2" s="18"/>
      <c r="N2" s="44" t="s">
        <v>74</v>
      </c>
      <c r="O2" s="45" t="str">
        <f>+'Input Data'!A28</f>
        <v>Engineer</v>
      </c>
      <c r="P2" s="46" t="str">
        <f>+'Input Data'!A29</f>
        <v>Technicians</v>
      </c>
      <c r="Q2" s="47" t="str">
        <f>+'Input Data'!A28</f>
        <v>Engineer</v>
      </c>
      <c r="R2" s="47" t="str">
        <f>+'Input Data'!A29</f>
        <v>Technicians</v>
      </c>
      <c r="S2" s="45" t="str">
        <f>+'Input Data'!A28</f>
        <v>Engineer</v>
      </c>
      <c r="T2" s="46" t="str">
        <f>+'Input Data'!A29</f>
        <v>Technicians</v>
      </c>
      <c r="U2" s="47" t="str">
        <f>+'Input Data'!A28</f>
        <v>Engineer</v>
      </c>
      <c r="V2" s="48" t="str">
        <f>+'Input Data'!A29</f>
        <v>Technicians</v>
      </c>
      <c r="X2" s="44" t="s">
        <v>74</v>
      </c>
      <c r="Y2" s="45" t="str">
        <f>+'Input Data'!A28</f>
        <v>Engineer</v>
      </c>
      <c r="Z2" s="47" t="str">
        <f>+'Input Data'!A29</f>
        <v>Technicians</v>
      </c>
      <c r="AA2" s="45" t="str">
        <f>+'Input Data'!A28</f>
        <v>Engineer</v>
      </c>
      <c r="AB2" s="46" t="str">
        <f>+'Input Data'!A29</f>
        <v>Technicians</v>
      </c>
      <c r="AC2" s="47" t="str">
        <f>+'Input Data'!A28</f>
        <v>Engineer</v>
      </c>
      <c r="AD2" s="47" t="str">
        <f>+'Input Data'!A29</f>
        <v>Technicians</v>
      </c>
      <c r="AE2" s="45" t="str">
        <f>+'Input Data'!A28</f>
        <v>Engineer</v>
      </c>
      <c r="AF2" s="48" t="str">
        <f>+'Input Data'!A29</f>
        <v>Technicians</v>
      </c>
      <c r="AH2" s="44" t="s">
        <v>74</v>
      </c>
      <c r="AI2" s="44" t="str">
        <f>+'Input Data'!A28</f>
        <v>Engineer</v>
      </c>
      <c r="AJ2" s="47" t="str">
        <f>+'Input Data'!A29</f>
        <v>Technicians</v>
      </c>
      <c r="AK2" s="45" t="str">
        <f>+'Input Data'!A28</f>
        <v>Engineer</v>
      </c>
      <c r="AL2" s="46" t="str">
        <f>+'Input Data'!A29</f>
        <v>Technicians</v>
      </c>
      <c r="AM2" s="47" t="str">
        <f>+'Input Data'!A28</f>
        <v>Engineer</v>
      </c>
      <c r="AN2" s="47" t="str">
        <f>+'Input Data'!A29</f>
        <v>Technicians</v>
      </c>
      <c r="AO2" s="45" t="str">
        <f>+'Input Data'!A28</f>
        <v>Engineer</v>
      </c>
      <c r="AP2" s="48" t="str">
        <f>+'Input Data'!A29</f>
        <v>Technicians</v>
      </c>
      <c r="AS2" s="6"/>
      <c r="AT2" s="19"/>
      <c r="AU2" s="19" t="s">
        <v>218</v>
      </c>
      <c r="AV2" s="38" t="s">
        <v>219</v>
      </c>
      <c r="AW2" s="87" t="s">
        <v>220</v>
      </c>
      <c r="AX2" s="218" t="s">
        <v>221</v>
      </c>
      <c r="BA2" s="39"/>
      <c r="BB2" s="56" t="s">
        <v>218</v>
      </c>
      <c r="BC2" s="40" t="s">
        <v>219</v>
      </c>
      <c r="BD2" s="56" t="s">
        <v>220</v>
      </c>
      <c r="BE2" s="57" t="s">
        <v>221</v>
      </c>
      <c r="BF2" s="39"/>
      <c r="BG2" s="72"/>
      <c r="BI2" s="39"/>
      <c r="BJ2" s="56" t="s">
        <v>218</v>
      </c>
      <c r="BK2" s="40" t="s">
        <v>219</v>
      </c>
      <c r="BL2" s="56" t="s">
        <v>220</v>
      </c>
      <c r="BM2" s="57" t="s">
        <v>221</v>
      </c>
      <c r="BN2" s="72"/>
      <c r="BO2" s="43"/>
      <c r="BQ2" s="39"/>
      <c r="BR2" s="56" t="s">
        <v>218</v>
      </c>
      <c r="BS2" s="40" t="s">
        <v>219</v>
      </c>
      <c r="BT2" s="56" t="s">
        <v>220</v>
      </c>
      <c r="BU2" s="57" t="s">
        <v>221</v>
      </c>
      <c r="BV2" s="72"/>
      <c r="BW2" s="43"/>
    </row>
    <row r="3" spans="1:75" ht="13.5" thickBot="1">
      <c r="A3" t="s">
        <v>230</v>
      </c>
      <c r="H3" s="38" t="s">
        <v>118</v>
      </c>
      <c r="I3" s="17"/>
      <c r="J3" s="38" t="s">
        <v>119</v>
      </c>
      <c r="K3" s="18"/>
      <c r="N3" s="12" t="s">
        <v>76</v>
      </c>
      <c r="O3" s="349">
        <v>30</v>
      </c>
      <c r="P3" s="350">
        <v>100</v>
      </c>
      <c r="Q3" s="83">
        <v>32</v>
      </c>
      <c r="R3" s="83">
        <v>108</v>
      </c>
      <c r="S3" s="349">
        <v>33</v>
      </c>
      <c r="T3" s="350">
        <v>120</v>
      </c>
      <c r="U3" s="83">
        <v>35</v>
      </c>
      <c r="V3" s="351">
        <v>128</v>
      </c>
      <c r="X3" s="12" t="s">
        <v>76</v>
      </c>
      <c r="Y3" s="36">
        <f aca="true" t="shared" si="0" ref="Y3:AF3">+O3</f>
        <v>30</v>
      </c>
      <c r="Z3" s="7">
        <f t="shared" si="0"/>
        <v>100</v>
      </c>
      <c r="AA3" s="36">
        <f t="shared" si="0"/>
        <v>32</v>
      </c>
      <c r="AB3" s="37">
        <f t="shared" si="0"/>
        <v>108</v>
      </c>
      <c r="AC3" s="7">
        <f t="shared" si="0"/>
        <v>33</v>
      </c>
      <c r="AD3" s="7">
        <f t="shared" si="0"/>
        <v>120</v>
      </c>
      <c r="AE3" s="36">
        <f t="shared" si="0"/>
        <v>35</v>
      </c>
      <c r="AF3" s="13">
        <f t="shared" si="0"/>
        <v>128</v>
      </c>
      <c r="AH3" s="12" t="s">
        <v>76</v>
      </c>
      <c r="AI3" s="12">
        <f aca="true" t="shared" si="1" ref="AI3:AP3">+O3</f>
        <v>30</v>
      </c>
      <c r="AJ3" s="7">
        <f t="shared" si="1"/>
        <v>100</v>
      </c>
      <c r="AK3" s="36">
        <f t="shared" si="1"/>
        <v>32</v>
      </c>
      <c r="AL3" s="37">
        <f t="shared" si="1"/>
        <v>108</v>
      </c>
      <c r="AM3" s="7">
        <f t="shared" si="1"/>
        <v>33</v>
      </c>
      <c r="AN3" s="7">
        <f t="shared" si="1"/>
        <v>120</v>
      </c>
      <c r="AO3" s="36">
        <f t="shared" si="1"/>
        <v>35</v>
      </c>
      <c r="AP3" s="13">
        <f t="shared" si="1"/>
        <v>128</v>
      </c>
      <c r="AS3" s="6"/>
      <c r="AT3" s="12" t="s">
        <v>143</v>
      </c>
      <c r="AU3" s="90">
        <f>+(O3+P3/2+V59+W59)*'Input Data'!E37</f>
        <v>15450</v>
      </c>
      <c r="AV3" s="7">
        <f>+(Q3+R3/2+V65+W65)*'Input Data'!E37</f>
        <v>16350</v>
      </c>
      <c r="AW3" s="52">
        <f>+(S3+T3/2+V71+W71)*'Input Data'!E37</f>
        <v>17400</v>
      </c>
      <c r="AX3" s="13">
        <f>+(U3+V3/2+V77+W77)*'Input Data'!E37</f>
        <v>18300</v>
      </c>
      <c r="BA3" s="12" t="s">
        <v>143</v>
      </c>
      <c r="BB3" s="36">
        <f>+('Input Data'!$C$37/'Input Data'!$B$37+'Input Data'!$D$37)*AU3</f>
        <v>880650</v>
      </c>
      <c r="BC3" s="36">
        <f>+('Input Data'!$C$37/'Input Data'!$B$37+'Input Data'!$D$37)*AV3</f>
        <v>931950</v>
      </c>
      <c r="BD3" s="36">
        <f>+('Input Data'!$C$37/'Input Data'!$B$37+'Input Data'!$D$37)*AW3</f>
        <v>991800</v>
      </c>
      <c r="BE3" s="36">
        <f>+('Input Data'!$C$37/'Input Data'!$B$37+'Input Data'!$D$37)*AX3</f>
        <v>1043100</v>
      </c>
      <c r="BF3" s="12"/>
      <c r="BG3" s="70"/>
      <c r="BI3" s="12" t="s">
        <v>143</v>
      </c>
      <c r="BJ3" s="36">
        <f>+BB3</f>
        <v>880650</v>
      </c>
      <c r="BK3" s="36">
        <f>+BC3</f>
        <v>931950</v>
      </c>
      <c r="BL3" s="36">
        <f>+BD3</f>
        <v>991800</v>
      </c>
      <c r="BM3" s="36">
        <f>+BE3</f>
        <v>1043100</v>
      </c>
      <c r="BN3" s="70"/>
      <c r="BO3" s="13"/>
      <c r="BQ3" s="12" t="s">
        <v>143</v>
      </c>
      <c r="BR3" s="36">
        <f>+BJ3</f>
        <v>880650</v>
      </c>
      <c r="BS3" s="36">
        <f>+BK3</f>
        <v>931950</v>
      </c>
      <c r="BT3" s="36">
        <f>+BL3</f>
        <v>991800</v>
      </c>
      <c r="BU3" s="36">
        <f>+BM3</f>
        <v>1043100</v>
      </c>
      <c r="BV3" s="70"/>
      <c r="BW3" s="13"/>
    </row>
    <row r="4" spans="1:97" ht="13.5" thickBot="1">
      <c r="A4" t="s">
        <v>231</v>
      </c>
      <c r="E4" s="26"/>
      <c r="F4" s="28" t="s">
        <v>59</v>
      </c>
      <c r="G4" s="51" t="s">
        <v>59</v>
      </c>
      <c r="H4" s="36" t="s">
        <v>65</v>
      </c>
      <c r="I4" s="7" t="s">
        <v>66</v>
      </c>
      <c r="J4" s="7" t="s">
        <v>67</v>
      </c>
      <c r="K4" s="7" t="s">
        <v>68</v>
      </c>
      <c r="N4" s="14" t="s">
        <v>77</v>
      </c>
      <c r="O4" s="352">
        <v>0.00175</v>
      </c>
      <c r="P4" s="353">
        <v>0.00065</v>
      </c>
      <c r="Q4" s="354">
        <v>0.00185</v>
      </c>
      <c r="R4" s="354">
        <v>0.0007</v>
      </c>
      <c r="S4" s="352">
        <v>0.0019</v>
      </c>
      <c r="T4" s="353">
        <v>0.0009</v>
      </c>
      <c r="U4" s="354">
        <v>0.00195</v>
      </c>
      <c r="V4" s="355">
        <v>0.00105</v>
      </c>
      <c r="X4" s="14" t="s">
        <v>77</v>
      </c>
      <c r="Y4" s="29">
        <f>+O4*'Input Data'!$C$57</f>
        <v>43.75</v>
      </c>
      <c r="Z4" s="15">
        <f>+P4*'Input Data'!$C$57</f>
        <v>16.25</v>
      </c>
      <c r="AA4" s="29">
        <f>+Q4*'Input Data'!$C$57</f>
        <v>46.25</v>
      </c>
      <c r="AB4" s="35">
        <f>+R4*'Input Data'!$C$57</f>
        <v>17.5</v>
      </c>
      <c r="AC4" s="15">
        <f>+S4*'Input Data'!$C$57</f>
        <v>47.5</v>
      </c>
      <c r="AD4" s="15">
        <f>+T4*'Input Data'!$C$57</f>
        <v>22.5</v>
      </c>
      <c r="AE4" s="29">
        <f>+U4*'Input Data'!$C$57</f>
        <v>48.75</v>
      </c>
      <c r="AF4" s="16">
        <f>+V4*'Input Data'!$C$57</f>
        <v>26.25</v>
      </c>
      <c r="AH4" s="14" t="s">
        <v>77</v>
      </c>
      <c r="AI4" s="14">
        <f>+O4*'Input Data'!$C$57</f>
        <v>43.75</v>
      </c>
      <c r="AJ4" s="15">
        <f>+P4*'Input Data'!$C$57</f>
        <v>16.25</v>
      </c>
      <c r="AK4" s="29">
        <f>+Q4*'Input Data'!$C$57</f>
        <v>46.25</v>
      </c>
      <c r="AL4" s="35">
        <f>+R4*'Input Data'!$C$57</f>
        <v>17.5</v>
      </c>
      <c r="AM4" s="15">
        <f>+S4*'Input Data'!$C$57</f>
        <v>47.5</v>
      </c>
      <c r="AN4" s="15">
        <f>+T4*'Input Data'!$C$57</f>
        <v>22.5</v>
      </c>
      <c r="AO4" s="29">
        <f>+U4*'Input Data'!$C$57</f>
        <v>48.75</v>
      </c>
      <c r="AP4" s="16">
        <f>+V4*'Input Data'!$C$57</f>
        <v>26.25</v>
      </c>
      <c r="AS4" s="6"/>
      <c r="AT4" s="14" t="s">
        <v>144</v>
      </c>
      <c r="AU4" s="91">
        <f>+(O4+P4/2+V60+W60)*'Input Data'!E37</f>
        <v>0.34865999999999997</v>
      </c>
      <c r="AV4" s="15">
        <f>+(Q4+R4/2+V66+W66)*'Input Data'!E37</f>
        <v>0.36183000000000004</v>
      </c>
      <c r="AW4" s="53">
        <f>+(S4+T4/2+V72+W72)*'Input Data'!E37</f>
        <v>0.38061</v>
      </c>
      <c r="AX4" s="16">
        <f>+(U4+V4/2+V78+W78)*'Input Data'!E37</f>
        <v>0.39105</v>
      </c>
      <c r="BA4" s="14" t="s">
        <v>144</v>
      </c>
      <c r="BB4" s="29">
        <f>+('Input Data'!$C$37/'Input Data'!$B$37+'Input Data'!$D$37)*AU4</f>
        <v>19.87362</v>
      </c>
      <c r="BC4" s="29">
        <f>+('Input Data'!$C$37/'Input Data'!$B$37+'Input Data'!$D$37)*AV4</f>
        <v>20.62431</v>
      </c>
      <c r="BD4" s="29">
        <f>+('Input Data'!$C$37/'Input Data'!$B$37+'Input Data'!$D$37)*AW4</f>
        <v>21.694770000000002</v>
      </c>
      <c r="BE4" s="29">
        <f>+('Input Data'!$C$37/'Input Data'!$B$37+'Input Data'!$D$37)*AX4</f>
        <v>22.28985</v>
      </c>
      <c r="BF4" s="14"/>
      <c r="BG4" s="71"/>
      <c r="BI4" s="14" t="s">
        <v>144</v>
      </c>
      <c r="BJ4" s="29">
        <f>+BB4*'Input Data'!$C$57</f>
        <v>496840.5</v>
      </c>
      <c r="BK4" s="29">
        <f>+BC4*'Input Data'!$C$57</f>
        <v>515607.75000000006</v>
      </c>
      <c r="BL4" s="29">
        <f>+BD4*'Input Data'!$C$57</f>
        <v>542369.25</v>
      </c>
      <c r="BM4" s="29">
        <f>+BE4*'Input Data'!$C$57</f>
        <v>557246.25</v>
      </c>
      <c r="BN4" s="71"/>
      <c r="BO4" s="16"/>
      <c r="BQ4" s="14" t="s">
        <v>144</v>
      </c>
      <c r="BR4" s="29">
        <f>+BB4*'Input Data'!$C$57</f>
        <v>496840.5</v>
      </c>
      <c r="BS4" s="29">
        <f>+BC4*'Input Data'!$C$57</f>
        <v>515607.75000000006</v>
      </c>
      <c r="BT4" s="29">
        <f>+BD4*'Input Data'!$C$57</f>
        <v>542369.25</v>
      </c>
      <c r="BU4" s="29">
        <f>+BE4*'Input Data'!$C$57</f>
        <v>557246.25</v>
      </c>
      <c r="BV4" s="71"/>
      <c r="BW4" s="16"/>
      <c r="CR4" s="7"/>
      <c r="CS4" s="7"/>
    </row>
    <row r="5" spans="5:97" ht="13.5" thickBot="1">
      <c r="E5" s="14" t="s">
        <v>61</v>
      </c>
      <c r="F5" s="29" t="s">
        <v>116</v>
      </c>
      <c r="G5" s="86" t="s">
        <v>62</v>
      </c>
      <c r="H5" s="31" t="s">
        <v>64</v>
      </c>
      <c r="I5" s="15" t="s">
        <v>64</v>
      </c>
      <c r="J5" s="31" t="s">
        <v>64</v>
      </c>
      <c r="K5" s="16" t="s">
        <v>64</v>
      </c>
      <c r="N5" s="39" t="s">
        <v>78</v>
      </c>
      <c r="O5" s="40"/>
      <c r="P5" s="41"/>
      <c r="Q5" s="42"/>
      <c r="R5" s="42"/>
      <c r="S5" s="40"/>
      <c r="T5" s="41"/>
      <c r="U5" s="42"/>
      <c r="V5" s="43"/>
      <c r="X5" s="39" t="s">
        <v>78</v>
      </c>
      <c r="Y5" s="40"/>
      <c r="Z5" s="42"/>
      <c r="AA5" s="40"/>
      <c r="AB5" s="41"/>
      <c r="AC5" s="42"/>
      <c r="AD5" s="42"/>
      <c r="AE5" s="40"/>
      <c r="AF5" s="43"/>
      <c r="AH5" s="39" t="s">
        <v>78</v>
      </c>
      <c r="AI5" s="39"/>
      <c r="AJ5" s="42"/>
      <c r="AK5" s="40"/>
      <c r="AL5" s="41"/>
      <c r="AM5" s="42"/>
      <c r="AN5" s="42"/>
      <c r="AO5" s="40"/>
      <c r="AP5" s="43"/>
      <c r="AS5" s="6"/>
      <c r="AT5" s="19" t="s">
        <v>145</v>
      </c>
      <c r="AU5" s="89"/>
      <c r="AV5" s="17"/>
      <c r="AW5" s="87"/>
      <c r="AX5" s="18"/>
      <c r="BA5" s="19" t="s">
        <v>145</v>
      </c>
      <c r="BB5" s="38"/>
      <c r="BC5" s="38"/>
      <c r="BD5" s="38"/>
      <c r="BE5" s="38"/>
      <c r="BF5" s="19"/>
      <c r="BG5" s="226"/>
      <c r="BI5" s="19" t="s">
        <v>145</v>
      </c>
      <c r="BJ5" s="38"/>
      <c r="BK5" s="38"/>
      <c r="BL5" s="38"/>
      <c r="BM5" s="38"/>
      <c r="BN5" s="226"/>
      <c r="BO5" s="18"/>
      <c r="BQ5" s="19" t="s">
        <v>145</v>
      </c>
      <c r="BR5" s="38"/>
      <c r="BS5" s="38"/>
      <c r="BT5" s="38"/>
      <c r="BU5" s="38"/>
      <c r="BV5" s="226"/>
      <c r="BW5" s="18"/>
      <c r="CR5" s="7"/>
      <c r="CS5" s="7"/>
    </row>
    <row r="6" spans="5:138" ht="12.75">
      <c r="E6" s="12" t="str">
        <f>+'Input Data'!I9</f>
        <v>CMP_Ins</v>
      </c>
      <c r="F6" s="211">
        <v>2.4970646659891793</v>
      </c>
      <c r="G6" s="33">
        <f aca="true" t="shared" si="2" ref="G6:G48">+ROUNDUP(F6,0)</f>
        <v>3</v>
      </c>
      <c r="H6" s="1">
        <f>+('Input Data'!K9+'Input Data'!L9+'Input Data'!M9)*F6/'Input Data'!O9</f>
        <v>1.3484149196341568</v>
      </c>
      <c r="I6" s="20">
        <f>+'Input Data'!N9*F6</f>
        <v>0.34958905323848516</v>
      </c>
      <c r="J6" s="30">
        <f>+('Input Data'!K9+'Input Data'!L9+'Input Data'!M9)*G6/'Input Data'!O9</f>
        <v>1.6199999999999999</v>
      </c>
      <c r="K6" s="13">
        <f>+'Input Data'!N9*G6</f>
        <v>0.42000000000000004</v>
      </c>
      <c r="N6" s="12" t="str">
        <f>+'Input Data'!I9</f>
        <v>CMP_Ins</v>
      </c>
      <c r="O6" s="147">
        <v>0.019792972576346875</v>
      </c>
      <c r="P6" s="356">
        <v>0.30161396914013566</v>
      </c>
      <c r="Q6" s="147">
        <v>0.02226701373883607</v>
      </c>
      <c r="R6" s="356">
        <v>0.29622683011335993</v>
      </c>
      <c r="S6" s="147">
        <v>0.02226701373883607</v>
      </c>
      <c r="T6" s="356">
        <v>0.29084109143465453</v>
      </c>
      <c r="U6" s="147">
        <v>0.024741698177758575</v>
      </c>
      <c r="V6" s="357">
        <v>0.25313952033564635</v>
      </c>
      <c r="W6" s="73"/>
      <c r="X6" s="12" t="str">
        <f>+'Input Data'!I9</f>
        <v>CMP_Ins</v>
      </c>
      <c r="Y6" s="36">
        <f aca="true" t="shared" si="3" ref="Y6:Y48">+O6*$F6</f>
        <v>0.04942433245528859</v>
      </c>
      <c r="Z6" s="7">
        <f aca="true" t="shared" si="4" ref="Z6:Z48">+P6*$F6</f>
        <v>0.7531495851085835</v>
      </c>
      <c r="AA6" s="36">
        <f aca="true" t="shared" si="5" ref="AA6:AA48">+Q6*$F6</f>
        <v>0.05560217322434316</v>
      </c>
      <c r="AB6" s="37">
        <f aca="true" t="shared" si="6" ref="AB6:AB48">+R6*$F6</f>
        <v>0.7396975505940505</v>
      </c>
      <c r="AC6" s="7">
        <f aca="true" t="shared" si="7" ref="AC6:AC48">+S6*$F6</f>
        <v>0.05560217322434316</v>
      </c>
      <c r="AD6" s="7">
        <f aca="true" t="shared" si="8" ref="AD6:AD48">+T6*$F6</f>
        <v>0.726249012839204</v>
      </c>
      <c r="AE6" s="36">
        <f aca="true" t="shared" si="9" ref="AE6:AE48">+U6*$F6</f>
        <v>0.061781620296249805</v>
      </c>
      <c r="AF6" s="13">
        <f aca="true" t="shared" si="10" ref="AF6:AF48">+V6*$F6</f>
        <v>0.6321057517955918</v>
      </c>
      <c r="AH6" s="12" t="str">
        <f>+'Input Data'!I9</f>
        <v>CMP_Ins</v>
      </c>
      <c r="AI6" s="12">
        <f aca="true" t="shared" si="11" ref="AI6:AI48">+O6*$G6</f>
        <v>0.05937891772904062</v>
      </c>
      <c r="AJ6" s="7">
        <f aca="true" t="shared" si="12" ref="AJ6:AJ48">+P6*$G6</f>
        <v>0.904841907420407</v>
      </c>
      <c r="AK6" s="36">
        <f aca="true" t="shared" si="13" ref="AK6:AK48">+Q6*$G6</f>
        <v>0.0668010412165082</v>
      </c>
      <c r="AL6" s="37">
        <f aca="true" t="shared" si="14" ref="AL6:AL48">+R6*$G6</f>
        <v>0.8886804903400798</v>
      </c>
      <c r="AM6" s="7">
        <f aca="true" t="shared" si="15" ref="AM6:AM48">+S6*$G6</f>
        <v>0.0668010412165082</v>
      </c>
      <c r="AN6" s="7">
        <f aca="true" t="shared" si="16" ref="AN6:AN48">+T6*$G6</f>
        <v>0.8725232743039636</v>
      </c>
      <c r="AO6" s="36">
        <f aca="true" t="shared" si="17" ref="AO6:AO48">+U6*$G6</f>
        <v>0.07422509453327572</v>
      </c>
      <c r="AP6" s="13">
        <f aca="true" t="shared" si="18" ref="AP6:AP48">+V6*$G6</f>
        <v>0.759418561006939</v>
      </c>
      <c r="AS6" s="6"/>
      <c r="AT6" s="12" t="str">
        <f>+'Input Data'!I9</f>
        <v>CMP_Ins</v>
      </c>
      <c r="AU6" s="92">
        <f>+(O6+P6/2)*'Input Data'!$E$37</f>
        <v>25.589993571962207</v>
      </c>
      <c r="AV6" s="1">
        <f>+(Q6+R6/2)*'Input Data'!$E$37</f>
        <v>25.557064319327406</v>
      </c>
      <c r="AW6" s="88">
        <f>+(S6+T6/2)*'Input Data'!$E$37</f>
        <v>25.1531339184245</v>
      </c>
      <c r="AX6" s="22">
        <f>+(U6+V6/2)*'Input Data'!$E$37</f>
        <v>22.69671875183726</v>
      </c>
      <c r="BA6" s="12" t="str">
        <f>+'Input Data'!I9</f>
        <v>CMP_Ins</v>
      </c>
      <c r="BB6" s="30">
        <f>+('Input Data'!$C$37/'Input Data'!$B$37+'Input Data'!$D$37)*AU6</f>
        <v>1458.6296336018459</v>
      </c>
      <c r="BC6" s="30">
        <f>+('Input Data'!$C$37/'Input Data'!$B$37+'Input Data'!$D$37)*AV6</f>
        <v>1456.7526662016621</v>
      </c>
      <c r="BD6" s="30">
        <f>+('Input Data'!$C$37/'Input Data'!$B$37+'Input Data'!$D$37)*AW6</f>
        <v>1433.7286333501966</v>
      </c>
      <c r="BE6" s="30">
        <f>+('Input Data'!$C$37/'Input Data'!$B$37+'Input Data'!$D$37)*AX6</f>
        <v>1293.7129688547238</v>
      </c>
      <c r="BF6" s="12">
        <f>+('Input Data'!$C$34/'Input Data'!$B$34+'Input Data'!$D$34)*'Input Data'!P9</f>
        <v>126000</v>
      </c>
      <c r="BG6" s="12">
        <f>+('Input Data'!$C$35/'Input Data'!$B$35+'Input Data'!$D$35)*'Input Data'!$Q9</f>
        <v>91200</v>
      </c>
      <c r="BI6" s="12" t="str">
        <f>+'Input Data'!I9</f>
        <v>CMP_Ins</v>
      </c>
      <c r="BJ6" s="30">
        <f aca="true" t="shared" si="19" ref="BJ6:BJ48">+BB6*$F6</f>
        <v>3642.2925188319123</v>
      </c>
      <c r="BK6" s="30">
        <f aca="true" t="shared" si="20" ref="BK6:BK48">+BC6*$F6</f>
        <v>3637.6056098577</v>
      </c>
      <c r="BL6" s="30">
        <f aca="true" t="shared" si="21" ref="BL6:BL48">+BD6*$F6</f>
        <v>3580.113110955731</v>
      </c>
      <c r="BM6" s="30">
        <f aca="true" t="shared" si="22" ref="BM6:BM48">+BE6*$F6</f>
        <v>3230.4849424590907</v>
      </c>
      <c r="BN6" s="74">
        <f aca="true" t="shared" si="23" ref="BN6:BN48">+BF6*$F6</f>
        <v>314630.1479146366</v>
      </c>
      <c r="BO6" s="22">
        <f aca="true" t="shared" si="24" ref="BO6:BO48">+BG6*$F6</f>
        <v>227732.29753821314</v>
      </c>
      <c r="BQ6" s="12" t="str">
        <f>+'Input Data'!I9</f>
        <v>CMP_Ins</v>
      </c>
      <c r="BR6" s="30">
        <f aca="true" t="shared" si="25" ref="BR6:BR48">+BB6*$G6</f>
        <v>4375.888900805538</v>
      </c>
      <c r="BS6" s="30">
        <f aca="true" t="shared" si="26" ref="BS6:BS48">+BC6*$G6</f>
        <v>4370.257998604986</v>
      </c>
      <c r="BT6" s="30">
        <f aca="true" t="shared" si="27" ref="BT6:BT48">+BD6*$G6</f>
        <v>4301.18590005059</v>
      </c>
      <c r="BU6" s="30">
        <f aca="true" t="shared" si="28" ref="BU6:BU48">+BE6*$G6</f>
        <v>3881.1389065641715</v>
      </c>
      <c r="BV6" s="74">
        <f aca="true" t="shared" si="29" ref="BV6:BV48">+BF6*$G6</f>
        <v>378000</v>
      </c>
      <c r="BW6" s="22">
        <f aca="true" t="shared" si="30" ref="BW6:BW48">+BG6*$G6</f>
        <v>273600</v>
      </c>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row>
    <row r="7" spans="5:97" ht="12.75">
      <c r="E7" s="12" t="str">
        <f>+'Input Data'!I10</f>
        <v>CMP_Ins(C) </v>
      </c>
      <c r="F7" s="211">
        <v>16.94046665331914</v>
      </c>
      <c r="G7" s="33">
        <f t="shared" si="2"/>
        <v>17</v>
      </c>
      <c r="H7" s="1">
        <f>+('Input Data'!K10+'Input Data'!L10+'Input Data'!M10)*F7/'Input Data'!O10</f>
        <v>9.147851992792337</v>
      </c>
      <c r="I7" s="20">
        <f>+'Input Data'!N10*F7</f>
        <v>2.3716653314646803</v>
      </c>
      <c r="J7" s="30">
        <f>+('Input Data'!K10+'Input Data'!L10+'Input Data'!M10)*G7/'Input Data'!O10</f>
        <v>9.18</v>
      </c>
      <c r="K7" s="13">
        <f>+'Input Data'!N10*G7</f>
        <v>2.3800000000000003</v>
      </c>
      <c r="N7" s="12" t="str">
        <f>+'Input Data'!I10</f>
        <v>CMP_Ins(C) </v>
      </c>
      <c r="O7" s="147">
        <v>0.019792972576346875</v>
      </c>
      <c r="P7" s="356">
        <v>0.30161396914013566</v>
      </c>
      <c r="Q7" s="147">
        <v>0.02226701373883607</v>
      </c>
      <c r="R7" s="356">
        <v>0.29622683011335993</v>
      </c>
      <c r="S7" s="147">
        <v>0.02226701373883607</v>
      </c>
      <c r="T7" s="356">
        <v>0.29084109143465453</v>
      </c>
      <c r="U7" s="147">
        <v>0.024741698177758575</v>
      </c>
      <c r="V7" s="357">
        <v>0.25313952033564635</v>
      </c>
      <c r="W7" s="73"/>
      <c r="X7" s="12" t="str">
        <f>+'Input Data'!I10</f>
        <v>CMP_Ins(C) </v>
      </c>
      <c r="Y7" s="36">
        <f t="shared" si="3"/>
        <v>0.3353021918996645</v>
      </c>
      <c r="Z7" s="7">
        <f t="shared" si="4"/>
        <v>5.109481386393697</v>
      </c>
      <c r="AA7" s="36">
        <f t="shared" si="5"/>
        <v>0.37721360371175167</v>
      </c>
      <c r="AB7" s="37">
        <f t="shared" si="6"/>
        <v>5.018220737353809</v>
      </c>
      <c r="AC7" s="7">
        <f t="shared" si="7"/>
        <v>0.37721360371175167</v>
      </c>
      <c r="AD7" s="7">
        <f t="shared" si="8"/>
        <v>4.9269838108637085</v>
      </c>
      <c r="AE7" s="36">
        <f t="shared" si="9"/>
        <v>0.41913591292680613</v>
      </c>
      <c r="AF7" s="13">
        <f t="shared" si="10"/>
        <v>4.2883016028832195</v>
      </c>
      <c r="AH7" s="12" t="str">
        <f>+'Input Data'!I10</f>
        <v>CMP_Ins(C) </v>
      </c>
      <c r="AI7" s="12">
        <f t="shared" si="11"/>
        <v>0.3364805337978969</v>
      </c>
      <c r="AJ7" s="7">
        <f t="shared" si="12"/>
        <v>5.127437475382306</v>
      </c>
      <c r="AK7" s="36">
        <f t="shared" si="13"/>
        <v>0.3785392335602132</v>
      </c>
      <c r="AL7" s="37">
        <f t="shared" si="14"/>
        <v>5.035856111927119</v>
      </c>
      <c r="AM7" s="7">
        <f t="shared" si="15"/>
        <v>0.3785392335602132</v>
      </c>
      <c r="AN7" s="7">
        <f t="shared" si="16"/>
        <v>4.944298554389127</v>
      </c>
      <c r="AO7" s="36">
        <f t="shared" si="17"/>
        <v>0.42060886902189576</v>
      </c>
      <c r="AP7" s="13">
        <f t="shared" si="18"/>
        <v>4.303371845705988</v>
      </c>
      <c r="AS7" s="6"/>
      <c r="AT7" s="12" t="str">
        <f>+'Input Data'!I10</f>
        <v>CMP_Ins(C) </v>
      </c>
      <c r="AU7" s="92">
        <f>+(O7+P7/2)*'Input Data'!$E$37</f>
        <v>25.589993571962207</v>
      </c>
      <c r="AV7" s="1">
        <f>+(Q7+R7/2)*'Input Data'!$E$37</f>
        <v>25.557064319327406</v>
      </c>
      <c r="AW7" s="88">
        <f>+(S7+T7/2)*'Input Data'!$E$37</f>
        <v>25.1531339184245</v>
      </c>
      <c r="AX7" s="22">
        <f>+(U7+V7/2)*'Input Data'!$E$37</f>
        <v>22.69671875183726</v>
      </c>
      <c r="BA7" s="12" t="str">
        <f>+'Input Data'!I10</f>
        <v>CMP_Ins(C) </v>
      </c>
      <c r="BB7" s="30">
        <f>+('Input Data'!$C$37/'Input Data'!$B$37+'Input Data'!$D$37)*AU7</f>
        <v>1458.6296336018459</v>
      </c>
      <c r="BC7" s="30">
        <f>+('Input Data'!$C$37/'Input Data'!$B$37+'Input Data'!$D$37)*AV7</f>
        <v>1456.7526662016621</v>
      </c>
      <c r="BD7" s="30">
        <f>+('Input Data'!$C$37/'Input Data'!$B$37+'Input Data'!$D$37)*AW7</f>
        <v>1433.7286333501966</v>
      </c>
      <c r="BE7" s="30">
        <f>+('Input Data'!$C$37/'Input Data'!$B$37+'Input Data'!$D$37)*AX7</f>
        <v>1293.7129688547238</v>
      </c>
      <c r="BF7" s="12">
        <f>+('Input Data'!$C$34/'Input Data'!$B$34+'Input Data'!$D$34)*'Input Data'!P10</f>
        <v>126000</v>
      </c>
      <c r="BG7" s="12">
        <f>+('Input Data'!$C$35/'Input Data'!$B$35+'Input Data'!$D$35)*'Input Data'!$Q10</f>
        <v>91200</v>
      </c>
      <c r="BI7" s="12" t="str">
        <f>+'Input Data'!I10</f>
        <v>CMP_Ins(C) </v>
      </c>
      <c r="BJ7" s="30">
        <f t="shared" si="19"/>
        <v>24709.86666757519</v>
      </c>
      <c r="BK7" s="30">
        <f t="shared" si="20"/>
        <v>24678.069963923008</v>
      </c>
      <c r="BL7" s="30">
        <f t="shared" si="21"/>
        <v>24288.03210317783</v>
      </c>
      <c r="BM7" s="30">
        <f t="shared" si="22"/>
        <v>21916.101407849954</v>
      </c>
      <c r="BN7" s="74">
        <f t="shared" si="23"/>
        <v>2134498.798318212</v>
      </c>
      <c r="BO7" s="22">
        <f t="shared" si="24"/>
        <v>1544970.5587827058</v>
      </c>
      <c r="BQ7" s="12" t="str">
        <f>+'Input Data'!I10</f>
        <v>CMP_Ins(C) </v>
      </c>
      <c r="BR7" s="30">
        <f t="shared" si="25"/>
        <v>24796.70377123138</v>
      </c>
      <c r="BS7" s="30">
        <f t="shared" si="26"/>
        <v>24764.795325428255</v>
      </c>
      <c r="BT7" s="30">
        <f t="shared" si="27"/>
        <v>24373.386766953343</v>
      </c>
      <c r="BU7" s="30">
        <f t="shared" si="28"/>
        <v>21993.120470530306</v>
      </c>
      <c r="BV7" s="74">
        <f t="shared" si="29"/>
        <v>2142000</v>
      </c>
      <c r="BW7" s="22">
        <f t="shared" si="30"/>
        <v>1550400</v>
      </c>
      <c r="CR7" s="7"/>
      <c r="CS7" s="7"/>
    </row>
    <row r="8" spans="5:97" ht="12.75">
      <c r="E8" s="12" t="str">
        <f>+'Input Data'!I11</f>
        <v>CMP_Ins(I)</v>
      </c>
      <c r="F8" s="211">
        <v>2.5135042954822437</v>
      </c>
      <c r="G8" s="33">
        <f t="shared" si="2"/>
        <v>3</v>
      </c>
      <c r="H8" s="1">
        <f>+('Input Data'!K11+'Input Data'!L11+'Input Data'!M11)*F8/'Input Data'!O11</f>
        <v>1.3572923195604116</v>
      </c>
      <c r="I8" s="20">
        <f>+'Input Data'!N11*F8</f>
        <v>0.35189060136751416</v>
      </c>
      <c r="J8" s="30">
        <f>+('Input Data'!K11+'Input Data'!L11+'Input Data'!M11)*G8/'Input Data'!O11</f>
        <v>1.6199999999999999</v>
      </c>
      <c r="K8" s="13">
        <f>+'Input Data'!N11*G8</f>
        <v>0.42000000000000004</v>
      </c>
      <c r="N8" s="12" t="str">
        <f>+'Input Data'!I11</f>
        <v>CMP_Ins(I)</v>
      </c>
      <c r="O8" s="147">
        <v>0.019792972576346875</v>
      </c>
      <c r="P8" s="356">
        <v>0.30161396914013566</v>
      </c>
      <c r="Q8" s="147">
        <v>0.02226701373883607</v>
      </c>
      <c r="R8" s="356">
        <v>0.29622683011335993</v>
      </c>
      <c r="S8" s="147">
        <v>0.02226701373883607</v>
      </c>
      <c r="T8" s="356">
        <v>0.29084109143465453</v>
      </c>
      <c r="U8" s="147">
        <v>0.024741698177758575</v>
      </c>
      <c r="V8" s="357">
        <v>0.25313952033564635</v>
      </c>
      <c r="W8" s="73"/>
      <c r="X8" s="12" t="str">
        <f>+'Input Data'!I11</f>
        <v>CMP_Ins(I)</v>
      </c>
      <c r="Y8" s="36">
        <f t="shared" si="3"/>
        <v>0.049749721591010126</v>
      </c>
      <c r="Z8" s="7">
        <f t="shared" si="4"/>
        <v>0.7581080070111799</v>
      </c>
      <c r="AA8" s="36">
        <f t="shared" si="5"/>
        <v>0.0559682346801266</v>
      </c>
      <c r="AB8" s="37">
        <f t="shared" si="6"/>
        <v>0.7445674099270191</v>
      </c>
      <c r="AC8" s="7">
        <f t="shared" si="7"/>
        <v>0.0559682346801266</v>
      </c>
      <c r="AD8" s="7">
        <f t="shared" si="8"/>
        <v>0.7310303326237482</v>
      </c>
      <c r="AE8" s="36">
        <f t="shared" si="9"/>
        <v>0.06218836464732138</v>
      </c>
      <c r="AF8" s="13">
        <f t="shared" si="10"/>
        <v>0.6362672717199619</v>
      </c>
      <c r="AH8" s="12" t="str">
        <f>+'Input Data'!I11</f>
        <v>CMP_Ins(I)</v>
      </c>
      <c r="AI8" s="12">
        <f t="shared" si="11"/>
        <v>0.05937891772904062</v>
      </c>
      <c r="AJ8" s="7">
        <f t="shared" si="12"/>
        <v>0.904841907420407</v>
      </c>
      <c r="AK8" s="36">
        <f t="shared" si="13"/>
        <v>0.0668010412165082</v>
      </c>
      <c r="AL8" s="37">
        <f t="shared" si="14"/>
        <v>0.8886804903400798</v>
      </c>
      <c r="AM8" s="7">
        <f t="shared" si="15"/>
        <v>0.0668010412165082</v>
      </c>
      <c r="AN8" s="7">
        <f t="shared" si="16"/>
        <v>0.8725232743039636</v>
      </c>
      <c r="AO8" s="36">
        <f t="shared" si="17"/>
        <v>0.07422509453327572</v>
      </c>
      <c r="AP8" s="13">
        <f t="shared" si="18"/>
        <v>0.759418561006939</v>
      </c>
      <c r="AS8" s="6"/>
      <c r="AT8" s="12" t="str">
        <f>+'Input Data'!I11</f>
        <v>CMP_Ins(I)</v>
      </c>
      <c r="AU8" s="92">
        <f>+(O8+P8/2)*'Input Data'!$E$37</f>
        <v>25.589993571962207</v>
      </c>
      <c r="AV8" s="1">
        <f>+(Q8+R8/2)*'Input Data'!$E$37</f>
        <v>25.557064319327406</v>
      </c>
      <c r="AW8" s="88">
        <f>+(S8+T8/2)*'Input Data'!$E$37</f>
        <v>25.1531339184245</v>
      </c>
      <c r="AX8" s="22">
        <f>+(U8+V8/2)*'Input Data'!$E$37</f>
        <v>22.69671875183726</v>
      </c>
      <c r="BA8" s="12" t="str">
        <f>+'Input Data'!I11</f>
        <v>CMP_Ins(I)</v>
      </c>
      <c r="BB8" s="30">
        <f>+('Input Data'!$C$37/'Input Data'!$B$37+'Input Data'!$D$37)*AU8</f>
        <v>1458.6296336018459</v>
      </c>
      <c r="BC8" s="30">
        <f>+('Input Data'!$C$37/'Input Data'!$B$37+'Input Data'!$D$37)*AV8</f>
        <v>1456.7526662016621</v>
      </c>
      <c r="BD8" s="30">
        <f>+('Input Data'!$C$37/'Input Data'!$B$37+'Input Data'!$D$37)*AW8</f>
        <v>1433.7286333501966</v>
      </c>
      <c r="BE8" s="30">
        <f>+('Input Data'!$C$37/'Input Data'!$B$37+'Input Data'!$D$37)*AX8</f>
        <v>1293.7129688547238</v>
      </c>
      <c r="BF8" s="12">
        <f>+('Input Data'!$C$34/'Input Data'!$B$34+'Input Data'!$D$34)*'Input Data'!P11</f>
        <v>126000</v>
      </c>
      <c r="BG8" s="12">
        <f>+('Input Data'!$C$35/'Input Data'!$B$35+'Input Data'!$D$35)*'Input Data'!$Q11</f>
        <v>91200</v>
      </c>
      <c r="BI8" s="12" t="str">
        <f>+'Input Data'!I11</f>
        <v>CMP_Ins(I)</v>
      </c>
      <c r="BJ8" s="30">
        <f t="shared" si="19"/>
        <v>3666.271849575931</v>
      </c>
      <c r="BK8" s="30">
        <f t="shared" si="20"/>
        <v>3661.554083953089</v>
      </c>
      <c r="BL8" s="30">
        <f t="shared" si="21"/>
        <v>3603.683078481606</v>
      </c>
      <c r="BM8" s="30">
        <f t="shared" si="22"/>
        <v>3251.7531043374347</v>
      </c>
      <c r="BN8" s="74">
        <f t="shared" si="23"/>
        <v>316701.5412307627</v>
      </c>
      <c r="BO8" s="22">
        <f t="shared" si="24"/>
        <v>229231.59174798062</v>
      </c>
      <c r="BQ8" s="12" t="str">
        <f>+'Input Data'!I11</f>
        <v>CMP_Ins(I)</v>
      </c>
      <c r="BR8" s="30">
        <f t="shared" si="25"/>
        <v>4375.888900805538</v>
      </c>
      <c r="BS8" s="30">
        <f t="shared" si="26"/>
        <v>4370.257998604986</v>
      </c>
      <c r="BT8" s="30">
        <f t="shared" si="27"/>
        <v>4301.18590005059</v>
      </c>
      <c r="BU8" s="30">
        <f t="shared" si="28"/>
        <v>3881.1389065641715</v>
      </c>
      <c r="BV8" s="74">
        <f t="shared" si="29"/>
        <v>378000</v>
      </c>
      <c r="BW8" s="22">
        <f t="shared" si="30"/>
        <v>273600</v>
      </c>
      <c r="CR8" s="7"/>
      <c r="CS8" s="7"/>
    </row>
    <row r="9" spans="5:97" ht="12.75">
      <c r="E9" s="12" t="str">
        <f>+'Input Data'!I12</f>
        <v>CMP_Met</v>
      </c>
      <c r="F9" s="211">
        <v>8.471387975303877</v>
      </c>
      <c r="G9" s="33">
        <f t="shared" si="2"/>
        <v>9</v>
      </c>
      <c r="H9" s="1">
        <f>+('Input Data'!K12+'Input Data'!L12+'Input Data'!M12)*F9/'Input Data'!O12</f>
        <v>4.574549506664093</v>
      </c>
      <c r="I9" s="20">
        <f>+'Input Data'!N12*F9</f>
        <v>1.1859943165425428</v>
      </c>
      <c r="J9" s="30">
        <f>+('Input Data'!K12+'Input Data'!L12+'Input Data'!M12)*G9/'Input Data'!O12</f>
        <v>4.859999999999999</v>
      </c>
      <c r="K9" s="13">
        <f>+'Input Data'!N12*G9</f>
        <v>1.2600000000000002</v>
      </c>
      <c r="N9" s="12" t="str">
        <f>+'Input Data'!I12</f>
        <v>CMP_Met</v>
      </c>
      <c r="O9" s="147">
        <v>0.019792972576346875</v>
      </c>
      <c r="P9" s="356">
        <v>0.30161396914013566</v>
      </c>
      <c r="Q9" s="147">
        <v>0.02226701373883607</v>
      </c>
      <c r="R9" s="356">
        <v>0.29622683011335993</v>
      </c>
      <c r="S9" s="147">
        <v>0.02226701373883607</v>
      </c>
      <c r="T9" s="356">
        <v>0.29084109143465453</v>
      </c>
      <c r="U9" s="147">
        <v>0.024741698177758575</v>
      </c>
      <c r="V9" s="357">
        <v>0.25313952033564635</v>
      </c>
      <c r="W9" s="73"/>
      <c r="X9" s="12" t="str">
        <f>+'Input Data'!I12</f>
        <v>CMP_Met</v>
      </c>
      <c r="Y9" s="36">
        <f t="shared" si="3"/>
        <v>0.1676739498787843</v>
      </c>
      <c r="Z9" s="7">
        <f t="shared" si="4"/>
        <v>2.55508895135742</v>
      </c>
      <c r="AA9" s="36">
        <f t="shared" si="5"/>
        <v>0.1886325124331021</v>
      </c>
      <c r="AB9" s="37">
        <f t="shared" si="6"/>
        <v>2.5094524065847015</v>
      </c>
      <c r="AC9" s="7">
        <f t="shared" si="7"/>
        <v>0.1886325124331021</v>
      </c>
      <c r="AD9" s="7">
        <f t="shared" si="8"/>
        <v>2.463827724703788</v>
      </c>
      <c r="AE9" s="36">
        <f t="shared" si="9"/>
        <v>0.20959652443166182</v>
      </c>
      <c r="AF9" s="13">
        <f t="shared" si="10"/>
        <v>2.144443088645586</v>
      </c>
      <c r="AH9" s="12" t="str">
        <f>+'Input Data'!I12</f>
        <v>CMP_Met</v>
      </c>
      <c r="AI9" s="12">
        <f t="shared" si="11"/>
        <v>0.17813675318712188</v>
      </c>
      <c r="AJ9" s="7">
        <f t="shared" si="12"/>
        <v>2.714525722261221</v>
      </c>
      <c r="AK9" s="36">
        <f t="shared" si="13"/>
        <v>0.20040312364952464</v>
      </c>
      <c r="AL9" s="37">
        <f t="shared" si="14"/>
        <v>2.6660414710202396</v>
      </c>
      <c r="AM9" s="7">
        <f t="shared" si="15"/>
        <v>0.20040312364952464</v>
      </c>
      <c r="AN9" s="7">
        <f t="shared" si="16"/>
        <v>2.6175698229118907</v>
      </c>
      <c r="AO9" s="36">
        <f t="shared" si="17"/>
        <v>0.22267528359982716</v>
      </c>
      <c r="AP9" s="13">
        <f t="shared" si="18"/>
        <v>2.2782556830208174</v>
      </c>
      <c r="AS9" s="6"/>
      <c r="AT9" s="12" t="str">
        <f>+'Input Data'!I12</f>
        <v>CMP_Met</v>
      </c>
      <c r="AU9" s="92">
        <f>+(O9+P9/2)*'Input Data'!$E$37</f>
        <v>25.589993571962207</v>
      </c>
      <c r="AV9" s="1">
        <f>+(Q9+R9/2)*'Input Data'!$E$37</f>
        <v>25.557064319327406</v>
      </c>
      <c r="AW9" s="88">
        <f>+(S9+T9/2)*'Input Data'!$E$37</f>
        <v>25.1531339184245</v>
      </c>
      <c r="AX9" s="22">
        <f>+(U9+V9/2)*'Input Data'!$E$37</f>
        <v>22.69671875183726</v>
      </c>
      <c r="BA9" s="12" t="str">
        <f>+'Input Data'!I12</f>
        <v>CMP_Met</v>
      </c>
      <c r="BB9" s="30">
        <f>+('Input Data'!$C$37/'Input Data'!$B$37+'Input Data'!$D$37)*AU9</f>
        <v>1458.6296336018459</v>
      </c>
      <c r="BC9" s="30">
        <f>+('Input Data'!$C$37/'Input Data'!$B$37+'Input Data'!$D$37)*AV9</f>
        <v>1456.7526662016621</v>
      </c>
      <c r="BD9" s="30">
        <f>+('Input Data'!$C$37/'Input Data'!$B$37+'Input Data'!$D$37)*AW9</f>
        <v>1433.7286333501966</v>
      </c>
      <c r="BE9" s="30">
        <f>+('Input Data'!$C$37/'Input Data'!$B$37+'Input Data'!$D$37)*AX9</f>
        <v>1293.7129688547238</v>
      </c>
      <c r="BF9" s="12">
        <f>+('Input Data'!$C$34/'Input Data'!$B$34+'Input Data'!$D$34)*'Input Data'!P12</f>
        <v>126000</v>
      </c>
      <c r="BG9" s="12">
        <f>+('Input Data'!$C$35/'Input Data'!$B$35+'Input Data'!$D$35)*'Input Data'!$Q12</f>
        <v>91200</v>
      </c>
      <c r="BI9" s="12" t="str">
        <f>+'Input Data'!I12</f>
        <v>CMP_Met</v>
      </c>
      <c r="BJ9" s="30">
        <f t="shared" si="19"/>
        <v>12356.617538516577</v>
      </c>
      <c r="BK9" s="30">
        <f t="shared" si="20"/>
        <v>12340.717019452622</v>
      </c>
      <c r="BL9" s="30">
        <f t="shared" si="21"/>
        <v>12145.671504411715</v>
      </c>
      <c r="BM9" s="30">
        <f t="shared" si="22"/>
        <v>10959.544487850586</v>
      </c>
      <c r="BN9" s="74">
        <f t="shared" si="23"/>
        <v>1067394.8848882886</v>
      </c>
      <c r="BO9" s="22">
        <f t="shared" si="24"/>
        <v>772590.5833477136</v>
      </c>
      <c r="BQ9" s="12" t="str">
        <f>+'Input Data'!I12</f>
        <v>CMP_Met</v>
      </c>
      <c r="BR9" s="30">
        <f t="shared" si="25"/>
        <v>13127.666702416613</v>
      </c>
      <c r="BS9" s="30">
        <f t="shared" si="26"/>
        <v>13110.77399581496</v>
      </c>
      <c r="BT9" s="30">
        <f t="shared" si="27"/>
        <v>12903.557700151769</v>
      </c>
      <c r="BU9" s="30">
        <f t="shared" si="28"/>
        <v>11643.416719692515</v>
      </c>
      <c r="BV9" s="74">
        <f t="shared" si="29"/>
        <v>1134000</v>
      </c>
      <c r="BW9" s="22">
        <f t="shared" si="30"/>
        <v>820800</v>
      </c>
      <c r="CR9" s="7"/>
      <c r="CS9" s="7"/>
    </row>
    <row r="10" spans="5:97" ht="12.75">
      <c r="E10" s="12" t="str">
        <f>+'Input Data'!I13</f>
        <v>CVD_Ins</v>
      </c>
      <c r="F10" s="211">
        <v>3.4755075863921445</v>
      </c>
      <c r="G10" s="33">
        <f t="shared" si="2"/>
        <v>4</v>
      </c>
      <c r="H10" s="1">
        <f>+('Input Data'!K13+'Input Data'!L13+'Input Data'!M13)*F10/'Input Data'!O13</f>
        <v>2.815161144977637</v>
      </c>
      <c r="I10" s="20">
        <f>+'Input Data'!N13*F10</f>
        <v>0.7298565931423503</v>
      </c>
      <c r="J10" s="30">
        <f>+('Input Data'!K13+'Input Data'!L13+'Input Data'!M13)*G10/'Input Data'!O13</f>
        <v>3.2399999999999998</v>
      </c>
      <c r="K10" s="13">
        <f>+'Input Data'!N13*G10</f>
        <v>0.84</v>
      </c>
      <c r="N10" s="12" t="str">
        <f>+'Input Data'!I13</f>
        <v>CVD_Ins</v>
      </c>
      <c r="O10" s="147">
        <v>0.019792972576346875</v>
      </c>
      <c r="P10" s="356">
        <v>0.1809683814840814</v>
      </c>
      <c r="Q10" s="147">
        <v>0.02226701373883607</v>
      </c>
      <c r="R10" s="356">
        <v>0.17773609806801596</v>
      </c>
      <c r="S10" s="147">
        <v>0.02226701373883607</v>
      </c>
      <c r="T10" s="356">
        <v>0.17450465486079272</v>
      </c>
      <c r="U10" s="147">
        <v>0.024741698177758575</v>
      </c>
      <c r="V10" s="357">
        <v>0.15188371220138783</v>
      </c>
      <c r="W10" s="73"/>
      <c r="X10" s="12" t="str">
        <f>+'Input Data'!I13</f>
        <v>CVD_Ins</v>
      </c>
      <c r="Y10" s="36">
        <f t="shared" si="3"/>
        <v>0.06879062634634524</v>
      </c>
      <c r="Z10" s="7">
        <f t="shared" si="4"/>
        <v>0.6289569827450326</v>
      </c>
      <c r="AA10" s="36">
        <f t="shared" si="5"/>
        <v>0.07738917517562287</v>
      </c>
      <c r="AB10" s="37">
        <f t="shared" si="6"/>
        <v>0.6177231572111277</v>
      </c>
      <c r="AC10" s="7">
        <f t="shared" si="7"/>
        <v>0.07738917517562287</v>
      </c>
      <c r="AD10" s="7">
        <f t="shared" si="8"/>
        <v>0.6064922518294279</v>
      </c>
      <c r="AE10" s="36">
        <f t="shared" si="9"/>
        <v>0.08598995971702462</v>
      </c>
      <c r="AF10" s="13">
        <f t="shared" si="10"/>
        <v>0.5278729940053245</v>
      </c>
      <c r="AH10" s="12" t="str">
        <f>+'Input Data'!I13</f>
        <v>CVD_Ins</v>
      </c>
      <c r="AI10" s="12">
        <f t="shared" si="11"/>
        <v>0.0791718903053875</v>
      </c>
      <c r="AJ10" s="7">
        <f t="shared" si="12"/>
        <v>0.7238735259363256</v>
      </c>
      <c r="AK10" s="36">
        <f t="shared" si="13"/>
        <v>0.08906805495534428</v>
      </c>
      <c r="AL10" s="37">
        <f t="shared" si="14"/>
        <v>0.7109443922720639</v>
      </c>
      <c r="AM10" s="7">
        <f t="shared" si="15"/>
        <v>0.08906805495534428</v>
      </c>
      <c r="AN10" s="7">
        <f t="shared" si="16"/>
        <v>0.6980186194431709</v>
      </c>
      <c r="AO10" s="36">
        <f t="shared" si="17"/>
        <v>0.0989667927110343</v>
      </c>
      <c r="AP10" s="13">
        <f t="shared" si="18"/>
        <v>0.6075348488055513</v>
      </c>
      <c r="AS10" s="6"/>
      <c r="AT10" s="12" t="str">
        <f>+'Input Data'!I13</f>
        <v>CVD_Ins</v>
      </c>
      <c r="AU10" s="92">
        <f>+(O10+P10/2)*'Input Data'!$E$37</f>
        <v>16.541574497758138</v>
      </c>
      <c r="AV10" s="1">
        <f>+(Q10+R10/2)*'Input Data'!$E$37</f>
        <v>16.67025941592661</v>
      </c>
      <c r="AW10" s="88">
        <f>+(S10+T10/2)*'Input Data'!$E$37</f>
        <v>16.427901175384864</v>
      </c>
      <c r="AX10" s="22">
        <f>+(U10+V10/2)*'Input Data'!$E$37</f>
        <v>15.102533141767873</v>
      </c>
      <c r="BA10" s="12" t="str">
        <f>+'Input Data'!I13</f>
        <v>CVD_Ins</v>
      </c>
      <c r="BB10" s="30">
        <f>+('Input Data'!$C$37/'Input Data'!$B$37+'Input Data'!$D$37)*AU10</f>
        <v>942.8697463722139</v>
      </c>
      <c r="BC10" s="30">
        <f>+('Input Data'!$C$37/'Input Data'!$B$37+'Input Data'!$D$37)*AV10</f>
        <v>950.2047867078167</v>
      </c>
      <c r="BD10" s="30">
        <f>+('Input Data'!$C$37/'Input Data'!$B$37+'Input Data'!$D$37)*AW10</f>
        <v>936.3903669969372</v>
      </c>
      <c r="BE10" s="30">
        <f>+('Input Data'!$C$37/'Input Data'!$B$37+'Input Data'!$D$37)*AX10</f>
        <v>860.8443890807688</v>
      </c>
      <c r="BF10" s="12">
        <f>+('Input Data'!$C$34/'Input Data'!$B$34+'Input Data'!$D$34)*'Input Data'!P13</f>
        <v>126000</v>
      </c>
      <c r="BG10" s="12">
        <f>+('Input Data'!$C$35/'Input Data'!$B$35+'Input Data'!$D$35)*'Input Data'!$Q13</f>
        <v>91200</v>
      </c>
      <c r="BI10" s="12" t="str">
        <f>+'Input Data'!I13</f>
        <v>CVD_Ins</v>
      </c>
      <c r="BJ10" s="30">
        <f t="shared" si="19"/>
        <v>3276.9509564962664</v>
      </c>
      <c r="BK10" s="30">
        <f t="shared" si="20"/>
        <v>3302.4439448291464</v>
      </c>
      <c r="BL10" s="30">
        <f t="shared" si="21"/>
        <v>3254.4318243223797</v>
      </c>
      <c r="BM10" s="30">
        <f t="shared" si="22"/>
        <v>2991.871204953323</v>
      </c>
      <c r="BN10" s="74">
        <f t="shared" si="23"/>
        <v>437913.9558854102</v>
      </c>
      <c r="BO10" s="22">
        <f t="shared" si="24"/>
        <v>316966.2918789636</v>
      </c>
      <c r="BQ10" s="12" t="str">
        <f>+'Input Data'!I13</f>
        <v>CVD_Ins</v>
      </c>
      <c r="BR10" s="30">
        <f t="shared" si="25"/>
        <v>3771.4789854888554</v>
      </c>
      <c r="BS10" s="30">
        <f t="shared" si="26"/>
        <v>3800.8191468312666</v>
      </c>
      <c r="BT10" s="30">
        <f t="shared" si="27"/>
        <v>3745.561467987749</v>
      </c>
      <c r="BU10" s="30">
        <f t="shared" si="28"/>
        <v>3443.377556323075</v>
      </c>
      <c r="BV10" s="74">
        <f t="shared" si="29"/>
        <v>504000</v>
      </c>
      <c r="BW10" s="22">
        <f t="shared" si="30"/>
        <v>364800</v>
      </c>
      <c r="CR10" s="7"/>
      <c r="CS10" s="7"/>
    </row>
    <row r="11" spans="5:97" ht="12.75">
      <c r="E11" s="12" t="str">
        <f>+'Input Data'!I14</f>
        <v>CVD_Ins(C) </v>
      </c>
      <c r="F11" s="211">
        <v>8.21716691028564</v>
      </c>
      <c r="G11" s="33">
        <f t="shared" si="2"/>
        <v>9</v>
      </c>
      <c r="H11" s="1">
        <f>+('Input Data'!K14+'Input Data'!L14+'Input Data'!M14)*F11/'Input Data'!O14</f>
        <v>6.655905197331367</v>
      </c>
      <c r="I11" s="20">
        <f>+'Input Data'!N14*F11</f>
        <v>1.7256050511599843</v>
      </c>
      <c r="J11" s="30">
        <f>+('Input Data'!K14+'Input Data'!L14+'Input Data'!M14)*G11/'Input Data'!O14</f>
        <v>7.289999999999999</v>
      </c>
      <c r="K11" s="13">
        <f>+'Input Data'!N14*G11</f>
        <v>1.89</v>
      </c>
      <c r="N11" s="12" t="str">
        <f>+'Input Data'!I14</f>
        <v>CVD_Ins(C) </v>
      </c>
      <c r="O11" s="147">
        <v>0.019792972576346875</v>
      </c>
      <c r="P11" s="356">
        <v>0.1809683814840814</v>
      </c>
      <c r="Q11" s="147">
        <v>0.02226701373883607</v>
      </c>
      <c r="R11" s="356">
        <v>0.17773609806801596</v>
      </c>
      <c r="S11" s="147">
        <v>0.02226701373883607</v>
      </c>
      <c r="T11" s="356">
        <v>0.17450465486079272</v>
      </c>
      <c r="U11" s="147">
        <v>0.024741698177758575</v>
      </c>
      <c r="V11" s="357">
        <v>0.15188371220138783</v>
      </c>
      <c r="W11" s="73"/>
      <c r="X11" s="12" t="str">
        <f>+'Input Data'!I14</f>
        <v>CVD_Ins(C) </v>
      </c>
      <c r="Y11" s="36">
        <f t="shared" si="3"/>
        <v>0.16264215931054865</v>
      </c>
      <c r="Z11" s="7">
        <f t="shared" si="4"/>
        <v>1.487047396138942</v>
      </c>
      <c r="AA11" s="36">
        <f t="shared" si="5"/>
        <v>0.18297176848563948</v>
      </c>
      <c r="AB11" s="37">
        <f t="shared" si="6"/>
        <v>1.4604871838077842</v>
      </c>
      <c r="AC11" s="7">
        <f t="shared" si="7"/>
        <v>0.18297176848563948</v>
      </c>
      <c r="AD11" s="7">
        <f t="shared" si="8"/>
        <v>1.433933875612922</v>
      </c>
      <c r="AE11" s="36">
        <f t="shared" si="9"/>
        <v>0.20330666357055227</v>
      </c>
      <c r="AF11" s="13">
        <f t="shared" si="10"/>
        <v>1.2480538141125912</v>
      </c>
      <c r="AH11" s="12" t="str">
        <f>+'Input Data'!I14</f>
        <v>CVD_Ins(C) </v>
      </c>
      <c r="AI11" s="12">
        <f t="shared" si="11"/>
        <v>0.17813675318712188</v>
      </c>
      <c r="AJ11" s="7">
        <f t="shared" si="12"/>
        <v>1.6287154333567326</v>
      </c>
      <c r="AK11" s="36">
        <f t="shared" si="13"/>
        <v>0.20040312364952464</v>
      </c>
      <c r="AL11" s="37">
        <f t="shared" si="14"/>
        <v>1.5996248826121438</v>
      </c>
      <c r="AM11" s="7">
        <f t="shared" si="15"/>
        <v>0.20040312364952464</v>
      </c>
      <c r="AN11" s="7">
        <f t="shared" si="16"/>
        <v>1.5705418937471345</v>
      </c>
      <c r="AO11" s="36">
        <f t="shared" si="17"/>
        <v>0.22267528359982716</v>
      </c>
      <c r="AP11" s="13">
        <f t="shared" si="18"/>
        <v>1.3669534098124905</v>
      </c>
      <c r="AS11" s="6"/>
      <c r="AT11" s="12" t="str">
        <f>+'Input Data'!I14</f>
        <v>CVD_Ins(C) </v>
      </c>
      <c r="AU11" s="92">
        <f>+(O11+P11/2)*'Input Data'!$E$37</f>
        <v>16.541574497758138</v>
      </c>
      <c r="AV11" s="1">
        <f>+(Q11+R11/2)*'Input Data'!$E$37</f>
        <v>16.67025941592661</v>
      </c>
      <c r="AW11" s="88">
        <f>+(S11+T11/2)*'Input Data'!$E$37</f>
        <v>16.427901175384864</v>
      </c>
      <c r="AX11" s="22">
        <f>+(U11+V11/2)*'Input Data'!$E$37</f>
        <v>15.102533141767873</v>
      </c>
      <c r="BA11" s="12" t="str">
        <f>+'Input Data'!I14</f>
        <v>CVD_Ins(C) </v>
      </c>
      <c r="BB11" s="30">
        <f>+('Input Data'!$C$37/'Input Data'!$B$37+'Input Data'!$D$37)*AU11</f>
        <v>942.8697463722139</v>
      </c>
      <c r="BC11" s="30">
        <f>+('Input Data'!$C$37/'Input Data'!$B$37+'Input Data'!$D$37)*AV11</f>
        <v>950.2047867078167</v>
      </c>
      <c r="BD11" s="30">
        <f>+('Input Data'!$C$37/'Input Data'!$B$37+'Input Data'!$D$37)*AW11</f>
        <v>936.3903669969372</v>
      </c>
      <c r="BE11" s="30">
        <f>+('Input Data'!$C$37/'Input Data'!$B$37+'Input Data'!$D$37)*AX11</f>
        <v>860.8443890807688</v>
      </c>
      <c r="BF11" s="12">
        <f>+('Input Data'!$C$34/'Input Data'!$B$34+'Input Data'!$D$34)*'Input Data'!P14</f>
        <v>126000</v>
      </c>
      <c r="BG11" s="12">
        <f>+('Input Data'!$C$35/'Input Data'!$B$35+'Input Data'!$D$35)*'Input Data'!$Q14</f>
        <v>91200</v>
      </c>
      <c r="BI11" s="12" t="str">
        <f>+'Input Data'!I14</f>
        <v>CVD_Ins(C) </v>
      </c>
      <c r="BJ11" s="30">
        <f t="shared" si="19"/>
        <v>7747.718080599169</v>
      </c>
      <c r="BK11" s="30">
        <f t="shared" si="20"/>
        <v>7807.991331330495</v>
      </c>
      <c r="BL11" s="30">
        <f t="shared" si="21"/>
        <v>7694.475938797459</v>
      </c>
      <c r="BM11" s="30">
        <f t="shared" si="22"/>
        <v>7073.7020288595495</v>
      </c>
      <c r="BN11" s="74">
        <f t="shared" si="23"/>
        <v>1035363.0306959905</v>
      </c>
      <c r="BO11" s="22">
        <f t="shared" si="24"/>
        <v>749405.6222180503</v>
      </c>
      <c r="BQ11" s="12" t="str">
        <f>+'Input Data'!I14</f>
        <v>CVD_Ins(C) </v>
      </c>
      <c r="BR11" s="30">
        <f t="shared" si="25"/>
        <v>8485.827717349925</v>
      </c>
      <c r="BS11" s="30">
        <f t="shared" si="26"/>
        <v>8551.84308037035</v>
      </c>
      <c r="BT11" s="30">
        <f t="shared" si="27"/>
        <v>8427.513302972435</v>
      </c>
      <c r="BU11" s="30">
        <f t="shared" si="28"/>
        <v>7747.599501726919</v>
      </c>
      <c r="BV11" s="74">
        <f t="shared" si="29"/>
        <v>1134000</v>
      </c>
      <c r="BW11" s="22">
        <f t="shared" si="30"/>
        <v>820800</v>
      </c>
      <c r="CR11" s="7"/>
      <c r="CS11" s="7"/>
    </row>
    <row r="12" spans="5:97" ht="12.75">
      <c r="E12" s="12" t="str">
        <f>+'Input Data'!I15</f>
        <v>CVD_Ins(I)</v>
      </c>
      <c r="F12" s="211">
        <v>1.084116761157242</v>
      </c>
      <c r="G12" s="33">
        <f t="shared" si="2"/>
        <v>2</v>
      </c>
      <c r="H12" s="1">
        <f>+('Input Data'!K15+'Input Data'!L15+'Input Data'!M15)*F12/'Input Data'!O15</f>
        <v>0.8781345765373659</v>
      </c>
      <c r="I12" s="20">
        <f>+'Input Data'!N15*F12</f>
        <v>0.2276645198430208</v>
      </c>
      <c r="J12" s="30">
        <f>+('Input Data'!K15+'Input Data'!L15+'Input Data'!M15)*G12/'Input Data'!O15</f>
        <v>1.6199999999999999</v>
      </c>
      <c r="K12" s="13">
        <f>+'Input Data'!N15*G12</f>
        <v>0.42</v>
      </c>
      <c r="N12" s="12" t="str">
        <f>+'Input Data'!I15</f>
        <v>CVD_Ins(I)</v>
      </c>
      <c r="O12" s="147">
        <v>0.019792972576346875</v>
      </c>
      <c r="P12" s="356">
        <v>0.1809683814840814</v>
      </c>
      <c r="Q12" s="147">
        <v>0.02226701373883607</v>
      </c>
      <c r="R12" s="356">
        <v>0.17773609806801596</v>
      </c>
      <c r="S12" s="147">
        <v>0.02226701373883607</v>
      </c>
      <c r="T12" s="356">
        <v>0.17450465486079272</v>
      </c>
      <c r="U12" s="147">
        <v>0.024741698177758575</v>
      </c>
      <c r="V12" s="357">
        <v>0.15188371220138783</v>
      </c>
      <c r="W12" s="73"/>
      <c r="X12" s="12" t="str">
        <f>+'Input Data'!I15</f>
        <v>CVD_Ins(I)</v>
      </c>
      <c r="Y12" s="36">
        <f t="shared" si="3"/>
        <v>0.021457893323143285</v>
      </c>
      <c r="Z12" s="7">
        <f t="shared" si="4"/>
        <v>0.19619085560639052</v>
      </c>
      <c r="AA12" s="36">
        <f t="shared" si="5"/>
        <v>0.02414004281519077</v>
      </c>
      <c r="AB12" s="37">
        <f t="shared" si="6"/>
        <v>0.1926866829782234</v>
      </c>
      <c r="AC12" s="7">
        <f t="shared" si="7"/>
        <v>0.02414004281519077</v>
      </c>
      <c r="AD12" s="7">
        <f t="shared" si="8"/>
        <v>0.18918342123454499</v>
      </c>
      <c r="AE12" s="36">
        <f t="shared" si="9"/>
        <v>0.02682288969400166</v>
      </c>
      <c r="AF12" s="13">
        <f t="shared" si="10"/>
        <v>0.16465967814430724</v>
      </c>
      <c r="AH12" s="12" t="str">
        <f>+'Input Data'!I15</f>
        <v>CVD_Ins(I)</v>
      </c>
      <c r="AI12" s="12">
        <f t="shared" si="11"/>
        <v>0.03958594515269375</v>
      </c>
      <c r="AJ12" s="7">
        <f t="shared" si="12"/>
        <v>0.3619367629681628</v>
      </c>
      <c r="AK12" s="36">
        <f t="shared" si="13"/>
        <v>0.04453402747767214</v>
      </c>
      <c r="AL12" s="37">
        <f t="shared" si="14"/>
        <v>0.3554721961360319</v>
      </c>
      <c r="AM12" s="7">
        <f t="shared" si="15"/>
        <v>0.04453402747767214</v>
      </c>
      <c r="AN12" s="7">
        <f t="shared" si="16"/>
        <v>0.34900930972158545</v>
      </c>
      <c r="AO12" s="36">
        <f t="shared" si="17"/>
        <v>0.04948339635551715</v>
      </c>
      <c r="AP12" s="13">
        <f t="shared" si="18"/>
        <v>0.30376742440277565</v>
      </c>
      <c r="AS12" s="6"/>
      <c r="AT12" s="12" t="str">
        <f>+'Input Data'!I15</f>
        <v>CVD_Ins(I)</v>
      </c>
      <c r="AU12" s="92">
        <f>+(O12+P12/2)*'Input Data'!$E$37</f>
        <v>16.541574497758138</v>
      </c>
      <c r="AV12" s="1">
        <f>+(Q12+R12/2)*'Input Data'!$E$37</f>
        <v>16.67025941592661</v>
      </c>
      <c r="AW12" s="88">
        <f>+(S12+T12/2)*'Input Data'!$E$37</f>
        <v>16.427901175384864</v>
      </c>
      <c r="AX12" s="22">
        <f>+(U12+V12/2)*'Input Data'!$E$37</f>
        <v>15.102533141767873</v>
      </c>
      <c r="BA12" s="12" t="str">
        <f>+'Input Data'!I15</f>
        <v>CVD_Ins(I)</v>
      </c>
      <c r="BB12" s="30">
        <f>+('Input Data'!$C$37/'Input Data'!$B$37+'Input Data'!$D$37)*AU12</f>
        <v>942.8697463722139</v>
      </c>
      <c r="BC12" s="30">
        <f>+('Input Data'!$C$37/'Input Data'!$B$37+'Input Data'!$D$37)*AV12</f>
        <v>950.2047867078167</v>
      </c>
      <c r="BD12" s="30">
        <f>+('Input Data'!$C$37/'Input Data'!$B$37+'Input Data'!$D$37)*AW12</f>
        <v>936.3903669969372</v>
      </c>
      <c r="BE12" s="30">
        <f>+('Input Data'!$C$37/'Input Data'!$B$37+'Input Data'!$D$37)*AX12</f>
        <v>860.8443890807688</v>
      </c>
      <c r="BF12" s="12">
        <f>+('Input Data'!$C$34/'Input Data'!$B$34+'Input Data'!$D$34)*'Input Data'!P15</f>
        <v>126000</v>
      </c>
      <c r="BG12" s="12">
        <f>+('Input Data'!$C$35/'Input Data'!$B$35+'Input Data'!$D$35)*'Input Data'!$Q15</f>
        <v>91200</v>
      </c>
      <c r="BI12" s="12" t="str">
        <f>+'Input Data'!I15</f>
        <v>CVD_Ins(I)</v>
      </c>
      <c r="BJ12" s="30">
        <f t="shared" si="19"/>
        <v>1022.1808956301946</v>
      </c>
      <c r="BK12" s="30">
        <f t="shared" si="20"/>
        <v>1030.132935801786</v>
      </c>
      <c r="BL12" s="30">
        <f t="shared" si="21"/>
        <v>1015.1564918475608</v>
      </c>
      <c r="BM12" s="30">
        <f t="shared" si="22"/>
        <v>933.2558309506277</v>
      </c>
      <c r="BN12" s="74">
        <f t="shared" si="23"/>
        <v>136598.7119058125</v>
      </c>
      <c r="BO12" s="22">
        <f t="shared" si="24"/>
        <v>98871.44861754047</v>
      </c>
      <c r="BQ12" s="12" t="str">
        <f>+'Input Data'!I15</f>
        <v>CVD_Ins(I)</v>
      </c>
      <c r="BR12" s="30">
        <f t="shared" si="25"/>
        <v>1885.7394927444277</v>
      </c>
      <c r="BS12" s="30">
        <f t="shared" si="26"/>
        <v>1900.4095734156333</v>
      </c>
      <c r="BT12" s="30">
        <f t="shared" si="27"/>
        <v>1872.7807339938745</v>
      </c>
      <c r="BU12" s="30">
        <f t="shared" si="28"/>
        <v>1721.6887781615376</v>
      </c>
      <c r="BV12" s="74">
        <f t="shared" si="29"/>
        <v>252000</v>
      </c>
      <c r="BW12" s="22">
        <f t="shared" si="30"/>
        <v>182400</v>
      </c>
      <c r="CR12" s="7"/>
      <c r="CS12" s="7"/>
    </row>
    <row r="13" spans="5:138" ht="12.75">
      <c r="E13" s="12" t="str">
        <f>+'Input Data'!I16</f>
        <v>CVD_Ins_Thin</v>
      </c>
      <c r="F13" s="211">
        <v>1.8237113221134895</v>
      </c>
      <c r="G13" s="33">
        <f t="shared" si="2"/>
        <v>2</v>
      </c>
      <c r="H13" s="1">
        <f>+('Input Data'!K16+'Input Data'!L16+'Input Data'!M16)*F13/'Input Data'!O16</f>
        <v>0.9848041139412842</v>
      </c>
      <c r="I13" s="20">
        <f>+'Input Data'!N16*F13</f>
        <v>0.25531958509588853</v>
      </c>
      <c r="J13" s="30">
        <f>+('Input Data'!K16+'Input Data'!L16+'Input Data'!M16)*G13/'Input Data'!O16</f>
        <v>1.0799999999999998</v>
      </c>
      <c r="K13" s="13">
        <f>+'Input Data'!N16*G13</f>
        <v>0.28</v>
      </c>
      <c r="N13" s="12" t="str">
        <f>+'Input Data'!I16</f>
        <v>CVD_Ins_Thin</v>
      </c>
      <c r="O13" s="147">
        <v>0.019792972576346875</v>
      </c>
      <c r="P13" s="356">
        <v>0.30161396914013566</v>
      </c>
      <c r="Q13" s="147">
        <v>0.02226701373883607</v>
      </c>
      <c r="R13" s="356">
        <v>0.29622683011335993</v>
      </c>
      <c r="S13" s="147">
        <v>0.02226701373883607</v>
      </c>
      <c r="T13" s="356">
        <v>0.29084109143465453</v>
      </c>
      <c r="U13" s="147">
        <v>0.024741698177758575</v>
      </c>
      <c r="V13" s="357">
        <v>0.25313952033564635</v>
      </c>
      <c r="W13" s="73"/>
      <c r="X13" s="12" t="str">
        <f>+'Input Data'!I16</f>
        <v>CVD_Ins_Thin</v>
      </c>
      <c r="Y13" s="36">
        <f t="shared" si="3"/>
        <v>0.0360966681857656</v>
      </c>
      <c r="Z13" s="7">
        <f t="shared" si="4"/>
        <v>0.550056810428454</v>
      </c>
      <c r="AA13" s="36">
        <f t="shared" si="5"/>
        <v>0.040608605065171964</v>
      </c>
      <c r="AB13" s="37">
        <f t="shared" si="6"/>
        <v>0.5402322239915237</v>
      </c>
      <c r="AC13" s="7">
        <f t="shared" si="7"/>
        <v>0.040608605065171964</v>
      </c>
      <c r="AD13" s="7">
        <f t="shared" si="8"/>
        <v>0.5304101913852242</v>
      </c>
      <c r="AE13" s="36">
        <f t="shared" si="9"/>
        <v>0.045121715095093</v>
      </c>
      <c r="AF13" s="13">
        <f t="shared" si="10"/>
        <v>0.4616534093104962</v>
      </c>
      <c r="AH13" s="12" t="str">
        <f>+'Input Data'!I16</f>
        <v>CVD_Ins_Thin</v>
      </c>
      <c r="AI13" s="12">
        <f t="shared" si="11"/>
        <v>0.03958594515269375</v>
      </c>
      <c r="AJ13" s="7">
        <f t="shared" si="12"/>
        <v>0.6032279382802713</v>
      </c>
      <c r="AK13" s="36">
        <f t="shared" si="13"/>
        <v>0.04453402747767214</v>
      </c>
      <c r="AL13" s="37">
        <f t="shared" si="14"/>
        <v>0.5924536602267199</v>
      </c>
      <c r="AM13" s="7">
        <f t="shared" si="15"/>
        <v>0.04453402747767214</v>
      </c>
      <c r="AN13" s="7">
        <f t="shared" si="16"/>
        <v>0.5816821828693091</v>
      </c>
      <c r="AO13" s="36">
        <f t="shared" si="17"/>
        <v>0.04948339635551715</v>
      </c>
      <c r="AP13" s="13">
        <f t="shared" si="18"/>
        <v>0.5062790406712927</v>
      </c>
      <c r="AS13" s="6"/>
      <c r="AT13" s="12" t="str">
        <f>+'Input Data'!I16</f>
        <v>CVD_Ins_Thin</v>
      </c>
      <c r="AU13" s="92">
        <f>+(O13+P13/2)*'Input Data'!$E$37</f>
        <v>25.589993571962207</v>
      </c>
      <c r="AV13" s="1">
        <f>+(Q13+R13/2)*'Input Data'!$E$37</f>
        <v>25.557064319327406</v>
      </c>
      <c r="AW13" s="88">
        <f>+(S13+T13/2)*'Input Data'!$E$37</f>
        <v>25.1531339184245</v>
      </c>
      <c r="AX13" s="22">
        <f>+(U13+V13/2)*'Input Data'!$E$37</f>
        <v>22.69671875183726</v>
      </c>
      <c r="BA13" s="12" t="str">
        <f>+'Input Data'!I16</f>
        <v>CVD_Ins_Thin</v>
      </c>
      <c r="BB13" s="30">
        <f>+('Input Data'!$C$37/'Input Data'!$B$37+'Input Data'!$D$37)*AU13</f>
        <v>1458.6296336018459</v>
      </c>
      <c r="BC13" s="30">
        <f>+('Input Data'!$C$37/'Input Data'!$B$37+'Input Data'!$D$37)*AV13</f>
        <v>1456.7526662016621</v>
      </c>
      <c r="BD13" s="30">
        <f>+('Input Data'!$C$37/'Input Data'!$B$37+'Input Data'!$D$37)*AW13</f>
        <v>1433.7286333501966</v>
      </c>
      <c r="BE13" s="30">
        <f>+('Input Data'!$C$37/'Input Data'!$B$37+'Input Data'!$D$37)*AX13</f>
        <v>1293.7129688547238</v>
      </c>
      <c r="BF13" s="12">
        <f>+('Input Data'!$C$34/'Input Data'!$B$34+'Input Data'!$D$34)*'Input Data'!P16</f>
        <v>126000</v>
      </c>
      <c r="BG13" s="12">
        <f>+('Input Data'!$C$35/'Input Data'!$B$35+'Input Data'!$D$35)*'Input Data'!$Q16</f>
        <v>91200</v>
      </c>
      <c r="BI13" s="12" t="str">
        <f>+'Input Data'!I16</f>
        <v>CVD_Ins_Thin</v>
      </c>
      <c r="BJ13" s="30">
        <f t="shared" si="19"/>
        <v>2660.119377569937</v>
      </c>
      <c r="BK13" s="30">
        <f t="shared" si="20"/>
        <v>2656.696330870984</v>
      </c>
      <c r="BL13" s="30">
        <f t="shared" si="21"/>
        <v>2614.7071414790535</v>
      </c>
      <c r="BM13" s="30">
        <f t="shared" si="22"/>
        <v>2359.358988865416</v>
      </c>
      <c r="BN13" s="74">
        <f t="shared" si="23"/>
        <v>229787.62658629968</v>
      </c>
      <c r="BO13" s="22">
        <f t="shared" si="24"/>
        <v>166322.47257675024</v>
      </c>
      <c r="BQ13" s="12" t="str">
        <f>+'Input Data'!I16</f>
        <v>CVD_Ins_Thin</v>
      </c>
      <c r="BR13" s="30">
        <f t="shared" si="25"/>
        <v>2917.2592672036917</v>
      </c>
      <c r="BS13" s="30">
        <f t="shared" si="26"/>
        <v>2913.5053324033242</v>
      </c>
      <c r="BT13" s="30">
        <f t="shared" si="27"/>
        <v>2867.457266700393</v>
      </c>
      <c r="BU13" s="30">
        <f t="shared" si="28"/>
        <v>2587.4259377094477</v>
      </c>
      <c r="BV13" s="74">
        <f t="shared" si="29"/>
        <v>252000</v>
      </c>
      <c r="BW13" s="22">
        <f t="shared" si="30"/>
        <v>182400</v>
      </c>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row>
    <row r="14" spans="5:138" ht="12.75">
      <c r="E14" s="12" t="str">
        <f>+'Input Data'!I17</f>
        <v>CVD_Met</v>
      </c>
      <c r="F14" s="211">
        <v>4.052366775591238</v>
      </c>
      <c r="G14" s="33">
        <f t="shared" si="2"/>
        <v>5</v>
      </c>
      <c r="H14" s="1">
        <f>+('Input Data'!K17+'Input Data'!L17+'Input Data'!M17)*F14/'Input Data'!O17</f>
        <v>3.82948660293372</v>
      </c>
      <c r="I14" s="20">
        <f>+'Input Data'!N17*F14</f>
        <v>0.9928298600198532</v>
      </c>
      <c r="J14" s="30">
        <f>+('Input Data'!K17+'Input Data'!L17+'Input Data'!M17)*G14/'Input Data'!O17</f>
        <v>4.7250000000000005</v>
      </c>
      <c r="K14" s="13">
        <f>+'Input Data'!N17*G14</f>
        <v>1.225</v>
      </c>
      <c r="N14" s="12" t="str">
        <f>+'Input Data'!I17</f>
        <v>CVD_Met</v>
      </c>
      <c r="O14" s="147">
        <v>0.019792972576346875</v>
      </c>
      <c r="P14" s="356">
        <v>0.24129117531210859</v>
      </c>
      <c r="Q14" s="147">
        <v>0.02226701373883607</v>
      </c>
      <c r="R14" s="356">
        <v>0.236981464090688</v>
      </c>
      <c r="S14" s="147">
        <v>0.02226701373883607</v>
      </c>
      <c r="T14" s="356">
        <v>0.23267287314772367</v>
      </c>
      <c r="U14" s="147">
        <v>0.024741698177758575</v>
      </c>
      <c r="V14" s="357">
        <v>0.20251161626851713</v>
      </c>
      <c r="W14" s="73"/>
      <c r="X14" s="12" t="str">
        <f>+'Input Data'!I17</f>
        <v>CVD_Met</v>
      </c>
      <c r="Y14" s="36">
        <f t="shared" si="3"/>
        <v>0.08020838445857657</v>
      </c>
      <c r="Z14" s="7">
        <f t="shared" si="4"/>
        <v>0.9778003420781495</v>
      </c>
      <c r="AA14" s="36">
        <f t="shared" si="5"/>
        <v>0.09023410666689291</v>
      </c>
      <c r="AB14" s="37">
        <f t="shared" si="6"/>
        <v>0.9603358115120719</v>
      </c>
      <c r="AC14" s="7">
        <f t="shared" si="7"/>
        <v>0.09023410666689291</v>
      </c>
      <c r="AD14" s="7">
        <f t="shared" si="8"/>
        <v>0.94287582072519</v>
      </c>
      <c r="AE14" s="36">
        <f t="shared" si="9"/>
        <v>0.10026243566725511</v>
      </c>
      <c r="AF14" s="13">
        <f t="shared" si="10"/>
        <v>0.8206513454378208</v>
      </c>
      <c r="AH14" s="12" t="str">
        <f>+'Input Data'!I17</f>
        <v>CVD_Met</v>
      </c>
      <c r="AI14" s="12">
        <f t="shared" si="11"/>
        <v>0.09896486288173438</v>
      </c>
      <c r="AJ14" s="7">
        <f t="shared" si="12"/>
        <v>1.2064558765605429</v>
      </c>
      <c r="AK14" s="36">
        <f t="shared" si="13"/>
        <v>0.11133506869418036</v>
      </c>
      <c r="AL14" s="37">
        <f t="shared" si="14"/>
        <v>1.18490732045344</v>
      </c>
      <c r="AM14" s="7">
        <f t="shared" si="15"/>
        <v>0.11133506869418036</v>
      </c>
      <c r="AN14" s="7">
        <f t="shared" si="16"/>
        <v>1.1633643657386183</v>
      </c>
      <c r="AO14" s="36">
        <f t="shared" si="17"/>
        <v>0.12370849088879288</v>
      </c>
      <c r="AP14" s="13">
        <f t="shared" si="18"/>
        <v>1.0125580813425856</v>
      </c>
      <c r="AT14" s="12" t="str">
        <f>+'Input Data'!I17</f>
        <v>CVD_Met</v>
      </c>
      <c r="AU14" s="92">
        <f>+(O14+P14/2)*'Input Data'!$E$37</f>
        <v>21.065784034860176</v>
      </c>
      <c r="AV14" s="1">
        <f>+(Q14+R14/2)*'Input Data'!$E$37</f>
        <v>21.113661867627012</v>
      </c>
      <c r="AW14" s="88">
        <f>+(S14+T14/2)*'Input Data'!$E$37</f>
        <v>20.790517546904688</v>
      </c>
      <c r="AX14" s="22">
        <f>+(U14+V14/2)*'Input Data'!$E$37</f>
        <v>18.899625946802573</v>
      </c>
      <c r="BA14" s="12" t="str">
        <f>+'Input Data'!I17</f>
        <v>CVD_Met</v>
      </c>
      <c r="BB14" s="30">
        <f>+('Input Data'!$C$37/'Input Data'!$B$37+'Input Data'!$D$37)*AU14</f>
        <v>1200.74968998703</v>
      </c>
      <c r="BC14" s="30">
        <f>+('Input Data'!$C$37/'Input Data'!$B$37+'Input Data'!$D$37)*AV14</f>
        <v>1203.4787264547397</v>
      </c>
      <c r="BD14" s="30">
        <f>+('Input Data'!$C$37/'Input Data'!$B$37+'Input Data'!$D$37)*AW14</f>
        <v>1185.0595001735671</v>
      </c>
      <c r="BE14" s="30">
        <f>+('Input Data'!$C$37/'Input Data'!$B$37+'Input Data'!$D$37)*AX14</f>
        <v>1077.2786789677466</v>
      </c>
      <c r="BF14" s="12">
        <f>+('Input Data'!$C$34/'Input Data'!$B$34+'Input Data'!$D$34)*'Input Data'!P17</f>
        <v>126000</v>
      </c>
      <c r="BG14" s="12">
        <f>+('Input Data'!$C$35/'Input Data'!$B$35+'Input Data'!$D$35)*'Input Data'!$Q17</f>
        <v>91200</v>
      </c>
      <c r="BI14" s="12" t="str">
        <f>+'Input Data'!I17</f>
        <v>CVD_Met</v>
      </c>
      <c r="BJ14" s="30">
        <f t="shared" si="19"/>
        <v>4865.878149504919</v>
      </c>
      <c r="BK14" s="30">
        <f t="shared" si="20"/>
        <v>4876.937206216043</v>
      </c>
      <c r="BL14" s="30">
        <f t="shared" si="21"/>
        <v>4802.295745602122</v>
      </c>
      <c r="BM14" s="30">
        <f t="shared" si="22"/>
        <v>4365.528326701715</v>
      </c>
      <c r="BN14" s="74">
        <f t="shared" si="23"/>
        <v>510598.21372449596</v>
      </c>
      <c r="BO14" s="22">
        <f t="shared" si="24"/>
        <v>369575.8499339209</v>
      </c>
      <c r="BQ14" s="12" t="str">
        <f>+'Input Data'!I17</f>
        <v>CVD_Met</v>
      </c>
      <c r="BR14" s="30">
        <f t="shared" si="25"/>
        <v>6003.74844993515</v>
      </c>
      <c r="BS14" s="30">
        <f t="shared" si="26"/>
        <v>6017.393632273698</v>
      </c>
      <c r="BT14" s="30">
        <f t="shared" si="27"/>
        <v>5925.297500867836</v>
      </c>
      <c r="BU14" s="30">
        <f t="shared" si="28"/>
        <v>5386.393394838733</v>
      </c>
      <c r="BV14" s="74">
        <f t="shared" si="29"/>
        <v>630000</v>
      </c>
      <c r="BW14" s="22">
        <f t="shared" si="30"/>
        <v>456000</v>
      </c>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row>
    <row r="15" spans="5:138" ht="12.75">
      <c r="E15" s="12" t="str">
        <f>+'Input Data'!I18</f>
        <v>CVD_Met(C) </v>
      </c>
      <c r="F15" s="211">
        <v>1.1835460996544862</v>
      </c>
      <c r="G15" s="33">
        <f t="shared" si="2"/>
        <v>2</v>
      </c>
      <c r="H15" s="1">
        <f>+('Input Data'!K18+'Input Data'!L18+'Input Data'!M18)*F15/'Input Data'!O18</f>
        <v>1.1184510641734895</v>
      </c>
      <c r="I15" s="20">
        <f>+'Input Data'!N18*F15</f>
        <v>0.2899687944153491</v>
      </c>
      <c r="J15" s="30">
        <f>+('Input Data'!K18+'Input Data'!L18+'Input Data'!M18)*G15/'Input Data'!O18</f>
        <v>1.8900000000000001</v>
      </c>
      <c r="K15" s="13">
        <f>+'Input Data'!N18*G15</f>
        <v>0.49</v>
      </c>
      <c r="N15" s="12" t="str">
        <f>+'Input Data'!I18</f>
        <v>CVD_Met(C) </v>
      </c>
      <c r="O15" s="147">
        <v>0.019792972576346875</v>
      </c>
      <c r="P15" s="356">
        <v>0.24129117531210859</v>
      </c>
      <c r="Q15" s="147">
        <v>0.02226701373883607</v>
      </c>
      <c r="R15" s="356">
        <v>0.236981464090688</v>
      </c>
      <c r="S15" s="147">
        <v>0.02226701373883607</v>
      </c>
      <c r="T15" s="356">
        <v>0.23267287314772367</v>
      </c>
      <c r="U15" s="147">
        <v>0.024741698177758575</v>
      </c>
      <c r="V15" s="357">
        <v>0.20251161626851713</v>
      </c>
      <c r="W15" s="73"/>
      <c r="X15" s="12" t="str">
        <f>+'Input Data'!I18</f>
        <v>CVD_Met(C) </v>
      </c>
      <c r="Y15" s="36">
        <f t="shared" si="3"/>
        <v>0.023425895493303553</v>
      </c>
      <c r="Z15" s="7">
        <f t="shared" si="4"/>
        <v>0.28557922942169295</v>
      </c>
      <c r="AA15" s="36">
        <f t="shared" si="5"/>
        <v>0.02635403726155229</v>
      </c>
      <c r="AB15" s="37">
        <f t="shared" si="6"/>
        <v>0.2804784875149435</v>
      </c>
      <c r="AC15" s="7">
        <f t="shared" si="7"/>
        <v>0.02635403726155229</v>
      </c>
      <c r="AD15" s="7">
        <f t="shared" si="8"/>
        <v>0.2753790715093914</v>
      </c>
      <c r="AE15" s="36">
        <f t="shared" si="9"/>
        <v>0.02928294037711467</v>
      </c>
      <c r="AF15" s="13">
        <f t="shared" si="10"/>
        <v>0.23968183356932946</v>
      </c>
      <c r="AH15" s="12" t="str">
        <f>+'Input Data'!I18</f>
        <v>CVD_Met(C) </v>
      </c>
      <c r="AI15" s="12">
        <f t="shared" si="11"/>
        <v>0.03958594515269375</v>
      </c>
      <c r="AJ15" s="7">
        <f t="shared" si="12"/>
        <v>0.48258235062421717</v>
      </c>
      <c r="AK15" s="36">
        <f t="shared" si="13"/>
        <v>0.04453402747767214</v>
      </c>
      <c r="AL15" s="37">
        <f t="shared" si="14"/>
        <v>0.473962928181376</v>
      </c>
      <c r="AM15" s="7">
        <f t="shared" si="15"/>
        <v>0.04453402747767214</v>
      </c>
      <c r="AN15" s="7">
        <f t="shared" si="16"/>
        <v>0.46534574629544734</v>
      </c>
      <c r="AO15" s="36">
        <f t="shared" si="17"/>
        <v>0.04948339635551715</v>
      </c>
      <c r="AP15" s="13">
        <f t="shared" si="18"/>
        <v>0.40502323253703426</v>
      </c>
      <c r="AT15" s="12" t="str">
        <f>+'Input Data'!I18</f>
        <v>CVD_Met(C) </v>
      </c>
      <c r="AU15" s="92">
        <f>+(O15+P15/2)*'Input Data'!$E$37</f>
        <v>21.065784034860176</v>
      </c>
      <c r="AV15" s="1">
        <f>+(Q15+R15/2)*'Input Data'!$E$37</f>
        <v>21.113661867627012</v>
      </c>
      <c r="AW15" s="88">
        <f>+(S15+T15/2)*'Input Data'!$E$37</f>
        <v>20.790517546904688</v>
      </c>
      <c r="AX15" s="22">
        <f>+(U15+V15/2)*'Input Data'!$E$37</f>
        <v>18.899625946802573</v>
      </c>
      <c r="BA15" s="12" t="str">
        <f>+'Input Data'!I18</f>
        <v>CVD_Met(C) </v>
      </c>
      <c r="BB15" s="30">
        <f>+('Input Data'!$C$37/'Input Data'!$B$37+'Input Data'!$D$37)*AU15</f>
        <v>1200.74968998703</v>
      </c>
      <c r="BC15" s="30">
        <f>+('Input Data'!$C$37/'Input Data'!$B$37+'Input Data'!$D$37)*AV15</f>
        <v>1203.4787264547397</v>
      </c>
      <c r="BD15" s="30">
        <f>+('Input Data'!$C$37/'Input Data'!$B$37+'Input Data'!$D$37)*AW15</f>
        <v>1185.0595001735671</v>
      </c>
      <c r="BE15" s="30">
        <f>+('Input Data'!$C$37/'Input Data'!$B$37+'Input Data'!$D$37)*AX15</f>
        <v>1077.2786789677466</v>
      </c>
      <c r="BF15" s="12">
        <f>+('Input Data'!$C$34/'Input Data'!$B$34+'Input Data'!$D$34)*'Input Data'!P18</f>
        <v>126000</v>
      </c>
      <c r="BG15" s="12">
        <f>+('Input Data'!$C$35/'Input Data'!$B$35+'Input Data'!$D$35)*'Input Data'!$Q18</f>
        <v>91200</v>
      </c>
      <c r="BI15" s="12" t="str">
        <f>+'Input Data'!I18</f>
        <v>CVD_Met(C) </v>
      </c>
      <c r="BJ15" s="30">
        <f t="shared" si="19"/>
        <v>1421.142612245483</v>
      </c>
      <c r="BK15" s="30">
        <f t="shared" si="20"/>
        <v>1424.3725527126555</v>
      </c>
      <c r="BL15" s="30">
        <f t="shared" si="21"/>
        <v>1402.5725492889203</v>
      </c>
      <c r="BM15" s="30">
        <f t="shared" si="22"/>
        <v>1275.0089787332138</v>
      </c>
      <c r="BN15" s="74">
        <f t="shared" si="23"/>
        <v>149126.80855646526</v>
      </c>
      <c r="BO15" s="22">
        <f t="shared" si="24"/>
        <v>107939.40428848914</v>
      </c>
      <c r="BQ15" s="12" t="str">
        <f>+'Input Data'!I18</f>
        <v>CVD_Met(C) </v>
      </c>
      <c r="BR15" s="30">
        <f t="shared" si="25"/>
        <v>2401.49937997406</v>
      </c>
      <c r="BS15" s="30">
        <f t="shared" si="26"/>
        <v>2406.9574529094793</v>
      </c>
      <c r="BT15" s="30">
        <f t="shared" si="27"/>
        <v>2370.1190003471343</v>
      </c>
      <c r="BU15" s="30">
        <f t="shared" si="28"/>
        <v>2154.557357935493</v>
      </c>
      <c r="BV15" s="74">
        <f t="shared" si="29"/>
        <v>252000</v>
      </c>
      <c r="BW15" s="22">
        <f t="shared" si="30"/>
        <v>182400</v>
      </c>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row>
    <row r="16" spans="5:138" ht="12.75">
      <c r="E16" s="12" t="str">
        <f>+'Input Data'!I19</f>
        <v>CVD_MetW</v>
      </c>
      <c r="F16" s="211">
        <v>3.4718129380897027</v>
      </c>
      <c r="G16" s="33">
        <f t="shared" si="2"/>
        <v>4</v>
      </c>
      <c r="H16" s="1">
        <f>+('Input Data'!K19+'Input Data'!L19+'Input Data'!M19)*F16/'Input Data'!O19</f>
        <v>3.2808632264947697</v>
      </c>
      <c r="I16" s="20">
        <f>+'Input Data'!N19*F16</f>
        <v>0.8505941698319771</v>
      </c>
      <c r="J16" s="30">
        <f>+('Input Data'!K19+'Input Data'!L19+'Input Data'!M19)*G16/'Input Data'!O19</f>
        <v>3.7800000000000002</v>
      </c>
      <c r="K16" s="13">
        <f>+'Input Data'!N19*G16</f>
        <v>0.98</v>
      </c>
      <c r="N16" s="12" t="str">
        <f>+'Input Data'!I19</f>
        <v>CVD_MetW</v>
      </c>
      <c r="O16" s="147">
        <v>0.019792972576346875</v>
      </c>
      <c r="P16" s="356">
        <v>0.24129117531210859</v>
      </c>
      <c r="Q16" s="147">
        <v>0.02226701373883607</v>
      </c>
      <c r="R16" s="356">
        <v>0.236981464090688</v>
      </c>
      <c r="S16" s="147">
        <v>0.02226701373883607</v>
      </c>
      <c r="T16" s="356">
        <v>0.23267287314772367</v>
      </c>
      <c r="U16" s="147">
        <v>0.024741698177758575</v>
      </c>
      <c r="V16" s="357">
        <v>0.20251161626851713</v>
      </c>
      <c r="W16" s="73"/>
      <c r="X16" s="12" t="str">
        <f>+'Input Data'!I19</f>
        <v>CVD_MetW</v>
      </c>
      <c r="Y16" s="36">
        <f t="shared" si="3"/>
        <v>0.06871749827381576</v>
      </c>
      <c r="Z16" s="7">
        <f t="shared" si="4"/>
        <v>0.8377178242954493</v>
      </c>
      <c r="AA16" s="36">
        <f t="shared" si="5"/>
        <v>0.07730690639111223</v>
      </c>
      <c r="AB16" s="37">
        <f t="shared" si="6"/>
        <v>0.8227553131174908</v>
      </c>
      <c r="AC16" s="7">
        <f t="shared" si="7"/>
        <v>0.07730690639111223</v>
      </c>
      <c r="AD16" s="7">
        <f t="shared" si="8"/>
        <v>0.8077966913367712</v>
      </c>
      <c r="AE16" s="36">
        <f t="shared" si="9"/>
        <v>0.08589854784385265</v>
      </c>
      <c r="AF16" s="13">
        <f t="shared" si="10"/>
        <v>0.7030824494744949</v>
      </c>
      <c r="AH16" s="12" t="str">
        <f>+'Input Data'!I19</f>
        <v>CVD_MetW</v>
      </c>
      <c r="AI16" s="12">
        <f t="shared" si="11"/>
        <v>0.0791718903053875</v>
      </c>
      <c r="AJ16" s="7">
        <f t="shared" si="12"/>
        <v>0.9651647012484343</v>
      </c>
      <c r="AK16" s="36">
        <f t="shared" si="13"/>
        <v>0.08906805495534428</v>
      </c>
      <c r="AL16" s="37">
        <f t="shared" si="14"/>
        <v>0.947925856362752</v>
      </c>
      <c r="AM16" s="7">
        <f t="shared" si="15"/>
        <v>0.08906805495534428</v>
      </c>
      <c r="AN16" s="7">
        <f t="shared" si="16"/>
        <v>0.9306914925908947</v>
      </c>
      <c r="AO16" s="36">
        <f t="shared" si="17"/>
        <v>0.0989667927110343</v>
      </c>
      <c r="AP16" s="13">
        <f t="shared" si="18"/>
        <v>0.8100464650740685</v>
      </c>
      <c r="AT16" s="12" t="str">
        <f>+'Input Data'!I19</f>
        <v>CVD_MetW</v>
      </c>
      <c r="AU16" s="92">
        <f>+(O16+P16/2)*'Input Data'!$E$37</f>
        <v>21.065784034860176</v>
      </c>
      <c r="AV16" s="1">
        <f>+(Q16+R16/2)*'Input Data'!$E$37</f>
        <v>21.113661867627012</v>
      </c>
      <c r="AW16" s="88">
        <f>+(S16+T16/2)*'Input Data'!$E$37</f>
        <v>20.790517546904688</v>
      </c>
      <c r="AX16" s="22">
        <f>+(U16+V16/2)*'Input Data'!$E$37</f>
        <v>18.899625946802573</v>
      </c>
      <c r="BA16" s="12" t="str">
        <f>+'Input Data'!I19</f>
        <v>CVD_MetW</v>
      </c>
      <c r="BB16" s="30">
        <f>+('Input Data'!$C$37/'Input Data'!$B$37+'Input Data'!$D$37)*AU16</f>
        <v>1200.74968998703</v>
      </c>
      <c r="BC16" s="30">
        <f>+('Input Data'!$C$37/'Input Data'!$B$37+'Input Data'!$D$37)*AV16</f>
        <v>1203.4787264547397</v>
      </c>
      <c r="BD16" s="30">
        <f>+('Input Data'!$C$37/'Input Data'!$B$37+'Input Data'!$D$37)*AW16</f>
        <v>1185.0595001735671</v>
      </c>
      <c r="BE16" s="30">
        <f>+('Input Data'!$C$37/'Input Data'!$B$37+'Input Data'!$D$37)*AX16</f>
        <v>1077.2786789677466</v>
      </c>
      <c r="BF16" s="12">
        <f>+('Input Data'!$C$34/'Input Data'!$B$34+'Input Data'!$D$34)*'Input Data'!P19</f>
        <v>126000</v>
      </c>
      <c r="BG16" s="12">
        <f>+('Input Data'!$C$35/'Input Data'!$B$35+'Input Data'!$D$35)*'Input Data'!$Q19</f>
        <v>91200</v>
      </c>
      <c r="BI16" s="12" t="str">
        <f>+'Input Data'!I19</f>
        <v>CVD_MetW</v>
      </c>
      <c r="BJ16" s="30">
        <f t="shared" si="19"/>
        <v>4168.77830910417</v>
      </c>
      <c r="BK16" s="30">
        <f t="shared" si="20"/>
        <v>4178.253013221283</v>
      </c>
      <c r="BL16" s="30">
        <f t="shared" si="21"/>
        <v>4114.304905108706</v>
      </c>
      <c r="BM16" s="30">
        <f t="shared" si="22"/>
        <v>3740.110055568406</v>
      </c>
      <c r="BN16" s="74">
        <f t="shared" si="23"/>
        <v>437448.43019930256</v>
      </c>
      <c r="BO16" s="22">
        <f t="shared" si="24"/>
        <v>316629.3399537809</v>
      </c>
      <c r="BQ16" s="12" t="str">
        <f>+'Input Data'!I19</f>
        <v>CVD_MetW</v>
      </c>
      <c r="BR16" s="30">
        <f t="shared" si="25"/>
        <v>4802.99875994812</v>
      </c>
      <c r="BS16" s="30">
        <f t="shared" si="26"/>
        <v>4813.914905818959</v>
      </c>
      <c r="BT16" s="30">
        <f t="shared" si="27"/>
        <v>4740.2380006942685</v>
      </c>
      <c r="BU16" s="30">
        <f t="shared" si="28"/>
        <v>4309.114715870986</v>
      </c>
      <c r="BV16" s="74">
        <f t="shared" si="29"/>
        <v>504000</v>
      </c>
      <c r="BW16" s="22">
        <f t="shared" si="30"/>
        <v>364800</v>
      </c>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row>
    <row r="17" spans="5:138" ht="12.75">
      <c r="E17" s="12" t="str">
        <f>+'Input Data'!I20</f>
        <v>CVD_MetW(C) </v>
      </c>
      <c r="F17" s="211">
        <v>1.0214443310764316</v>
      </c>
      <c r="G17" s="33">
        <f t="shared" si="2"/>
        <v>2</v>
      </c>
      <c r="H17" s="1">
        <f>+('Input Data'!K20+'Input Data'!L20+'Input Data'!M20)*F17/'Input Data'!O20</f>
        <v>0.9652648928672279</v>
      </c>
      <c r="I17" s="20">
        <f>+'Input Data'!N20*F17</f>
        <v>0.2502538611137257</v>
      </c>
      <c r="J17" s="30">
        <f>+('Input Data'!K20+'Input Data'!L20+'Input Data'!M20)*G17/'Input Data'!O20</f>
        <v>1.8900000000000001</v>
      </c>
      <c r="K17" s="13">
        <f>+'Input Data'!N20*G17</f>
        <v>0.49</v>
      </c>
      <c r="N17" s="12" t="str">
        <f>+'Input Data'!I20</f>
        <v>CVD_MetW(C) </v>
      </c>
      <c r="O17" s="147">
        <v>0.019792972576346875</v>
      </c>
      <c r="P17" s="356">
        <v>0.24129117531210859</v>
      </c>
      <c r="Q17" s="147">
        <v>0.02226701373883607</v>
      </c>
      <c r="R17" s="356">
        <v>0.236981464090688</v>
      </c>
      <c r="S17" s="147">
        <v>0.02226701373883607</v>
      </c>
      <c r="T17" s="356">
        <v>0.23267287314772367</v>
      </c>
      <c r="U17" s="147">
        <v>0.024741698177758575</v>
      </c>
      <c r="V17" s="357">
        <v>0.20251161626851713</v>
      </c>
      <c r="W17" s="73"/>
      <c r="X17" s="12" t="str">
        <f>+'Input Data'!I20</f>
        <v>CVD_MetW(C) </v>
      </c>
      <c r="Y17" s="36">
        <f t="shared" si="3"/>
        <v>0.020217419633260788</v>
      </c>
      <c r="Z17" s="7">
        <f t="shared" si="4"/>
        <v>0.24646550316132274</v>
      </c>
      <c r="AA17" s="36">
        <f t="shared" si="5"/>
        <v>0.022744514953535123</v>
      </c>
      <c r="AB17" s="37">
        <f t="shared" si="6"/>
        <v>0.2420633730656262</v>
      </c>
      <c r="AC17" s="7">
        <f t="shared" si="7"/>
        <v>0.022744514953535123</v>
      </c>
      <c r="AD17" s="7">
        <f t="shared" si="8"/>
        <v>0.23766238727200803</v>
      </c>
      <c r="AE17" s="36">
        <f t="shared" si="9"/>
        <v>0.025272267344875574</v>
      </c>
      <c r="AF17" s="13">
        <f t="shared" si="10"/>
        <v>0.2068543424146025</v>
      </c>
      <c r="AH17" s="12" t="str">
        <f>+'Input Data'!I20</f>
        <v>CVD_MetW(C) </v>
      </c>
      <c r="AI17" s="12">
        <f t="shared" si="11"/>
        <v>0.03958594515269375</v>
      </c>
      <c r="AJ17" s="7">
        <f t="shared" si="12"/>
        <v>0.48258235062421717</v>
      </c>
      <c r="AK17" s="36">
        <f t="shared" si="13"/>
        <v>0.04453402747767214</v>
      </c>
      <c r="AL17" s="37">
        <f t="shared" si="14"/>
        <v>0.473962928181376</v>
      </c>
      <c r="AM17" s="7">
        <f t="shared" si="15"/>
        <v>0.04453402747767214</v>
      </c>
      <c r="AN17" s="7">
        <f t="shared" si="16"/>
        <v>0.46534574629544734</v>
      </c>
      <c r="AO17" s="36">
        <f t="shared" si="17"/>
        <v>0.04948339635551715</v>
      </c>
      <c r="AP17" s="13">
        <f t="shared" si="18"/>
        <v>0.40502323253703426</v>
      </c>
      <c r="AT17" s="12" t="str">
        <f>+'Input Data'!I20</f>
        <v>CVD_MetW(C) </v>
      </c>
      <c r="AU17" s="92">
        <f>+(O17+P17/2)*'Input Data'!$E$37</f>
        <v>21.065784034860176</v>
      </c>
      <c r="AV17" s="1">
        <f>+(Q17+R17/2)*'Input Data'!$E$37</f>
        <v>21.113661867627012</v>
      </c>
      <c r="AW17" s="88">
        <f>+(S17+T17/2)*'Input Data'!$E$37</f>
        <v>20.790517546904688</v>
      </c>
      <c r="AX17" s="22">
        <f>+(U17+V17/2)*'Input Data'!$E$37</f>
        <v>18.899625946802573</v>
      </c>
      <c r="BA17" s="12" t="str">
        <f>+'Input Data'!I20</f>
        <v>CVD_MetW(C) </v>
      </c>
      <c r="BB17" s="30">
        <f>+('Input Data'!$C$37/'Input Data'!$B$37+'Input Data'!$D$37)*AU17</f>
        <v>1200.74968998703</v>
      </c>
      <c r="BC17" s="30">
        <f>+('Input Data'!$C$37/'Input Data'!$B$37+'Input Data'!$D$37)*AV17</f>
        <v>1203.4787264547397</v>
      </c>
      <c r="BD17" s="30">
        <f>+('Input Data'!$C$37/'Input Data'!$B$37+'Input Data'!$D$37)*AW17</f>
        <v>1185.0595001735671</v>
      </c>
      <c r="BE17" s="30">
        <f>+('Input Data'!$C$37/'Input Data'!$B$37+'Input Data'!$D$37)*AX17</f>
        <v>1077.2786789677466</v>
      </c>
      <c r="BF17" s="12">
        <f>+('Input Data'!$C$34/'Input Data'!$B$34+'Input Data'!$D$34)*'Input Data'!P20</f>
        <v>126000</v>
      </c>
      <c r="BG17" s="12">
        <f>+('Input Data'!$C$35/'Input Data'!$B$35+'Input Data'!$D$35)*'Input Data'!$Q20</f>
        <v>91200</v>
      </c>
      <c r="BI17" s="12" t="str">
        <f>+'Input Data'!I20</f>
        <v>CVD_MetW(C) </v>
      </c>
      <c r="BJ17" s="30">
        <f t="shared" si="19"/>
        <v>1226.4989638790346</v>
      </c>
      <c r="BK17" s="30">
        <f t="shared" si="20"/>
        <v>1229.2865227082773</v>
      </c>
      <c r="BL17" s="30">
        <f t="shared" si="21"/>
        <v>1210.4723084405596</v>
      </c>
      <c r="BM17" s="30">
        <f t="shared" si="22"/>
        <v>1100.3801996211118</v>
      </c>
      <c r="BN17" s="74">
        <f t="shared" si="23"/>
        <v>128701.98571563039</v>
      </c>
      <c r="BO17" s="22">
        <f t="shared" si="24"/>
        <v>93155.72299417056</v>
      </c>
      <c r="BQ17" s="12" t="str">
        <f>+'Input Data'!I20</f>
        <v>CVD_MetW(C) </v>
      </c>
      <c r="BR17" s="30">
        <f t="shared" si="25"/>
        <v>2401.49937997406</v>
      </c>
      <c r="BS17" s="30">
        <f t="shared" si="26"/>
        <v>2406.9574529094793</v>
      </c>
      <c r="BT17" s="30">
        <f t="shared" si="27"/>
        <v>2370.1190003471343</v>
      </c>
      <c r="BU17" s="30">
        <f t="shared" si="28"/>
        <v>2154.557357935493</v>
      </c>
      <c r="BV17" s="74">
        <f t="shared" si="29"/>
        <v>252000</v>
      </c>
      <c r="BW17" s="22">
        <f t="shared" si="30"/>
        <v>182400</v>
      </c>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row>
    <row r="18" spans="5:138" ht="12.75">
      <c r="E18" s="12" t="str">
        <f>+'Input Data'!I21</f>
        <v>Dry_Etch</v>
      </c>
      <c r="F18" s="211">
        <v>2.35307610827173</v>
      </c>
      <c r="G18" s="33">
        <f t="shared" si="2"/>
        <v>3</v>
      </c>
      <c r="H18" s="1">
        <f>+('Input Data'!K21+'Input Data'!L21+'Input Data'!M21)*F18/'Input Data'!O21</f>
        <v>1.5883263730834176</v>
      </c>
      <c r="I18" s="20">
        <f>+'Input Data'!N21*F18</f>
        <v>0.41178831894755275</v>
      </c>
      <c r="J18" s="30">
        <f>+('Input Data'!K21+'Input Data'!L21+'Input Data'!M21)*G18/'Input Data'!O21</f>
        <v>2.025</v>
      </c>
      <c r="K18" s="13">
        <f>+'Input Data'!N21*G18</f>
        <v>0.5249999999999999</v>
      </c>
      <c r="N18" s="12" t="str">
        <f>+'Input Data'!I21</f>
        <v>Dry_Etch</v>
      </c>
      <c r="O18" s="147">
        <v>0.03958594515269375</v>
      </c>
      <c r="P18" s="356">
        <v>0.1809683814840814</v>
      </c>
      <c r="Q18" s="147">
        <v>0.04453402747767214</v>
      </c>
      <c r="R18" s="356">
        <v>0.17773609806801596</v>
      </c>
      <c r="S18" s="147">
        <v>0.04453402747767214</v>
      </c>
      <c r="T18" s="356">
        <v>0.17450465486079272</v>
      </c>
      <c r="U18" s="147">
        <v>0.04948339635551715</v>
      </c>
      <c r="V18" s="357">
        <v>0.15188371220138783</v>
      </c>
      <c r="W18" s="73"/>
      <c r="X18" s="12" t="str">
        <f>+'Input Data'!I21</f>
        <v>Dry_Etch</v>
      </c>
      <c r="Y18" s="36">
        <f t="shared" si="3"/>
        <v>0.09314874176215876</v>
      </c>
      <c r="Z18" s="7">
        <f t="shared" si="4"/>
        <v>0.42583237482279607</v>
      </c>
      <c r="AA18" s="36">
        <f t="shared" si="5"/>
        <v>0.10479195606282705</v>
      </c>
      <c r="AB18" s="37">
        <f t="shared" si="6"/>
        <v>0.41822656594128954</v>
      </c>
      <c r="AC18" s="7">
        <f t="shared" si="7"/>
        <v>0.10479195606282705</v>
      </c>
      <c r="AD18" s="7">
        <f t="shared" si="8"/>
        <v>0.41062273413513556</v>
      </c>
      <c r="AE18" s="36">
        <f t="shared" si="9"/>
        <v>0.1164381977203078</v>
      </c>
      <c r="AF18" s="13">
        <f t="shared" si="10"/>
        <v>0.35739393441670514</v>
      </c>
      <c r="AH18" s="12" t="str">
        <f>+'Input Data'!I21</f>
        <v>Dry_Etch</v>
      </c>
      <c r="AI18" s="12">
        <f t="shared" si="11"/>
        <v>0.11875783545808125</v>
      </c>
      <c r="AJ18" s="7">
        <f t="shared" si="12"/>
        <v>0.5429051444522441</v>
      </c>
      <c r="AK18" s="36">
        <f t="shared" si="13"/>
        <v>0.1336020824330164</v>
      </c>
      <c r="AL18" s="37">
        <f t="shared" si="14"/>
        <v>0.5332082942040479</v>
      </c>
      <c r="AM18" s="7">
        <f t="shared" si="15"/>
        <v>0.1336020824330164</v>
      </c>
      <c r="AN18" s="7">
        <f t="shared" si="16"/>
        <v>0.5235139645823782</v>
      </c>
      <c r="AO18" s="36">
        <f t="shared" si="17"/>
        <v>0.14845018906655144</v>
      </c>
      <c r="AP18" s="13">
        <f t="shared" si="18"/>
        <v>0.45565113660416345</v>
      </c>
      <c r="AT18" s="12" t="str">
        <f>+'Input Data'!I21</f>
        <v>Dry_Etch</v>
      </c>
      <c r="AU18" s="92">
        <f>+(O18+P18/2)*'Input Data'!$E$37</f>
        <v>19.510520384210167</v>
      </c>
      <c r="AV18" s="1">
        <f>+(Q18+R18/2)*'Input Data'!$E$37</f>
        <v>20.01031147675202</v>
      </c>
      <c r="AW18" s="88">
        <f>+(S18+T18/2)*'Input Data'!$E$37</f>
        <v>19.767953236210275</v>
      </c>
      <c r="AX18" s="22">
        <f>+(U18+V18/2)*'Input Data'!$E$37</f>
        <v>18.813787868431657</v>
      </c>
      <c r="BA18" s="12" t="str">
        <f>+'Input Data'!I21</f>
        <v>Dry_Etch</v>
      </c>
      <c r="BB18" s="30">
        <f>+('Input Data'!$C$37/'Input Data'!$B$37+'Input Data'!$D$37)*AU18</f>
        <v>1112.0996618999795</v>
      </c>
      <c r="BC18" s="30">
        <f>+('Input Data'!$C$37/'Input Data'!$B$37+'Input Data'!$D$37)*AV18</f>
        <v>1140.587754174865</v>
      </c>
      <c r="BD18" s="30">
        <f>+('Input Data'!$C$37/'Input Data'!$B$37+'Input Data'!$D$37)*AW18</f>
        <v>1126.7733344639857</v>
      </c>
      <c r="BE18" s="30">
        <f>+('Input Data'!$C$37/'Input Data'!$B$37+'Input Data'!$D$37)*AX18</f>
        <v>1072.3859085006045</v>
      </c>
      <c r="BF18" s="12">
        <f>+('Input Data'!$C$34/'Input Data'!$B$34+'Input Data'!$D$34)*'Input Data'!P21</f>
        <v>126000</v>
      </c>
      <c r="BG18" s="12">
        <f>+('Input Data'!$C$35/'Input Data'!$B$35+'Input Data'!$D$35)*'Input Data'!$Q21</f>
        <v>91200</v>
      </c>
      <c r="BI18" s="12" t="str">
        <f>+'Input Data'!I21</f>
        <v>Dry_Etch</v>
      </c>
      <c r="BJ18" s="30">
        <f t="shared" si="19"/>
        <v>2616.8551444339105</v>
      </c>
      <c r="BK18" s="30">
        <f t="shared" si="20"/>
        <v>2683.889793736184</v>
      </c>
      <c r="BL18" s="30">
        <f t="shared" si="21"/>
        <v>2651.383412764876</v>
      </c>
      <c r="BM18" s="30">
        <f t="shared" si="22"/>
        <v>2523.405660140046</v>
      </c>
      <c r="BN18" s="74">
        <f t="shared" si="23"/>
        <v>296487.589642238</v>
      </c>
      <c r="BO18" s="22">
        <f t="shared" si="24"/>
        <v>214600.54107438176</v>
      </c>
      <c r="BQ18" s="12" t="str">
        <f>+'Input Data'!I21</f>
        <v>Dry_Etch</v>
      </c>
      <c r="BR18" s="30">
        <f t="shared" si="25"/>
        <v>3336.2989856999384</v>
      </c>
      <c r="BS18" s="30">
        <f t="shared" si="26"/>
        <v>3421.763262524595</v>
      </c>
      <c r="BT18" s="30">
        <f t="shared" si="27"/>
        <v>3380.3200033919575</v>
      </c>
      <c r="BU18" s="30">
        <f t="shared" si="28"/>
        <v>3217.1577255018137</v>
      </c>
      <c r="BV18" s="74">
        <f t="shared" si="29"/>
        <v>378000</v>
      </c>
      <c r="BW18" s="22">
        <f t="shared" si="30"/>
        <v>273600</v>
      </c>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row>
    <row r="19" spans="5:138" ht="12.75">
      <c r="E19" s="12" t="str">
        <f>+'Input Data'!I22</f>
        <v>Dry_Etch(A)</v>
      </c>
      <c r="F19" s="211">
        <v>2.56839957315529</v>
      </c>
      <c r="G19" s="33">
        <f t="shared" si="2"/>
        <v>3</v>
      </c>
      <c r="H19" s="1">
        <f>+('Input Data'!K22+'Input Data'!L22+'Input Data'!M22)*F19/'Input Data'!O22</f>
        <v>1.733669711879821</v>
      </c>
      <c r="I19" s="20">
        <f>+'Input Data'!N22*F19</f>
        <v>0.4494699253021758</v>
      </c>
      <c r="J19" s="30">
        <f>+('Input Data'!K22+'Input Data'!L22+'Input Data'!M22)*G19/'Input Data'!O22</f>
        <v>2.025</v>
      </c>
      <c r="K19" s="13">
        <f>+'Input Data'!N22*G19</f>
        <v>0.5249999999999999</v>
      </c>
      <c r="N19" s="12" t="str">
        <f>+'Input Data'!I22</f>
        <v>Dry_Etch(A)</v>
      </c>
      <c r="O19" s="147">
        <v>0.03958594515269375</v>
      </c>
      <c r="P19" s="356">
        <v>0.1809683814840814</v>
      </c>
      <c r="Q19" s="147">
        <v>0.04453402747767214</v>
      </c>
      <c r="R19" s="356">
        <v>0.17773609806801596</v>
      </c>
      <c r="S19" s="147">
        <v>0.04453402747767214</v>
      </c>
      <c r="T19" s="356">
        <v>0.17450465486079272</v>
      </c>
      <c r="U19" s="147">
        <v>0.04948339635551715</v>
      </c>
      <c r="V19" s="357">
        <v>0.15188371220138783</v>
      </c>
      <c r="W19" s="73"/>
      <c r="X19" s="12" t="str">
        <f>+'Input Data'!I22</f>
        <v>Dry_Etch(A)</v>
      </c>
      <c r="Y19" s="36">
        <f t="shared" si="3"/>
        <v>0.10167252463312736</v>
      </c>
      <c r="Z19" s="7">
        <f t="shared" si="4"/>
        <v>0.4647991137583184</v>
      </c>
      <c r="AA19" s="36">
        <f t="shared" si="5"/>
        <v>0.11438117716453909</v>
      </c>
      <c r="AB19" s="37">
        <f t="shared" si="6"/>
        <v>0.456497318412179</v>
      </c>
      <c r="AC19" s="7">
        <f t="shared" si="7"/>
        <v>0.11438117716453909</v>
      </c>
      <c r="AD19" s="7">
        <f t="shared" si="8"/>
        <v>0.4481976810580713</v>
      </c>
      <c r="AE19" s="36">
        <f t="shared" si="9"/>
        <v>0.1270931340777843</v>
      </c>
      <c r="AF19" s="13">
        <f t="shared" si="10"/>
        <v>0.39009806158728544</v>
      </c>
      <c r="AH19" s="12" t="str">
        <f>+'Input Data'!I22</f>
        <v>Dry_Etch(A)</v>
      </c>
      <c r="AI19" s="12">
        <f t="shared" si="11"/>
        <v>0.11875783545808125</v>
      </c>
      <c r="AJ19" s="7">
        <f t="shared" si="12"/>
        <v>0.5429051444522441</v>
      </c>
      <c r="AK19" s="36">
        <f t="shared" si="13"/>
        <v>0.1336020824330164</v>
      </c>
      <c r="AL19" s="37">
        <f t="shared" si="14"/>
        <v>0.5332082942040479</v>
      </c>
      <c r="AM19" s="7">
        <f t="shared" si="15"/>
        <v>0.1336020824330164</v>
      </c>
      <c r="AN19" s="7">
        <f t="shared" si="16"/>
        <v>0.5235139645823782</v>
      </c>
      <c r="AO19" s="36">
        <f t="shared" si="17"/>
        <v>0.14845018906655144</v>
      </c>
      <c r="AP19" s="13">
        <f t="shared" si="18"/>
        <v>0.45565113660416345</v>
      </c>
      <c r="AT19" s="12" t="str">
        <f>+'Input Data'!I22</f>
        <v>Dry_Etch(A)</v>
      </c>
      <c r="AU19" s="92">
        <f>+(O19+P19/2)*'Input Data'!$E$37</f>
        <v>19.510520384210167</v>
      </c>
      <c r="AV19" s="1">
        <f>+(Q19+R19/2)*'Input Data'!$E$37</f>
        <v>20.01031147675202</v>
      </c>
      <c r="AW19" s="88">
        <f>+(S19+T19/2)*'Input Data'!$E$37</f>
        <v>19.767953236210275</v>
      </c>
      <c r="AX19" s="22">
        <f>+(U19+V19/2)*'Input Data'!$E$37</f>
        <v>18.813787868431657</v>
      </c>
      <c r="BA19" s="12" t="str">
        <f>+'Input Data'!I22</f>
        <v>Dry_Etch(A)</v>
      </c>
      <c r="BB19" s="30">
        <f>+('Input Data'!$C$37/'Input Data'!$B$37+'Input Data'!$D$37)*AU19</f>
        <v>1112.0996618999795</v>
      </c>
      <c r="BC19" s="30">
        <f>+('Input Data'!$C$37/'Input Data'!$B$37+'Input Data'!$D$37)*AV19</f>
        <v>1140.587754174865</v>
      </c>
      <c r="BD19" s="30">
        <f>+('Input Data'!$C$37/'Input Data'!$B$37+'Input Data'!$D$37)*AW19</f>
        <v>1126.7733344639857</v>
      </c>
      <c r="BE19" s="30">
        <f>+('Input Data'!$C$37/'Input Data'!$B$37+'Input Data'!$D$37)*AX19</f>
        <v>1072.3859085006045</v>
      </c>
      <c r="BF19" s="12">
        <f>+('Input Data'!$C$34/'Input Data'!$B$34+'Input Data'!$D$34)*'Input Data'!P22</f>
        <v>126000</v>
      </c>
      <c r="BG19" s="12">
        <f>+('Input Data'!$C$35/'Input Data'!$B$35+'Input Data'!$D$35)*'Input Data'!$Q22</f>
        <v>91200</v>
      </c>
      <c r="BI19" s="12" t="str">
        <f>+'Input Data'!I22</f>
        <v>Dry_Etch(A)</v>
      </c>
      <c r="BJ19" s="30">
        <f t="shared" si="19"/>
        <v>2856.31629693005</v>
      </c>
      <c r="BK19" s="30">
        <f t="shared" si="20"/>
        <v>2929.4851009688746</v>
      </c>
      <c r="BL19" s="30">
        <f t="shared" si="21"/>
        <v>2894.004151280064</v>
      </c>
      <c r="BM19" s="30">
        <f t="shared" si="22"/>
        <v>2754.3155096507007</v>
      </c>
      <c r="BN19" s="74">
        <f t="shared" si="23"/>
        <v>323618.3462175666</v>
      </c>
      <c r="BO19" s="22">
        <f t="shared" si="24"/>
        <v>234238.04107176248</v>
      </c>
      <c r="BQ19" s="12" t="str">
        <f>+'Input Data'!I22</f>
        <v>Dry_Etch(A)</v>
      </c>
      <c r="BR19" s="30">
        <f t="shared" si="25"/>
        <v>3336.2989856999384</v>
      </c>
      <c r="BS19" s="30">
        <f t="shared" si="26"/>
        <v>3421.763262524595</v>
      </c>
      <c r="BT19" s="30">
        <f t="shared" si="27"/>
        <v>3380.3200033919575</v>
      </c>
      <c r="BU19" s="30">
        <f t="shared" si="28"/>
        <v>3217.1577255018137</v>
      </c>
      <c r="BV19" s="74">
        <f t="shared" si="29"/>
        <v>378000</v>
      </c>
      <c r="BW19" s="22">
        <f t="shared" si="30"/>
        <v>273600</v>
      </c>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row>
    <row r="20" spans="5:138" ht="12.75">
      <c r="E20" s="12" t="str">
        <f>+'Input Data'!I23</f>
        <v>Dry_Etch(C) </v>
      </c>
      <c r="F20" s="211">
        <v>12.65988152179935</v>
      </c>
      <c r="G20" s="33">
        <f t="shared" si="2"/>
        <v>13</v>
      </c>
      <c r="H20" s="1">
        <f>+('Input Data'!K23+'Input Data'!L23+'Input Data'!M23)*F20/'Input Data'!O23</f>
        <v>8.545420027214561</v>
      </c>
      <c r="I20" s="20">
        <f>+'Input Data'!N23*F20</f>
        <v>2.2154792663148863</v>
      </c>
      <c r="J20" s="30">
        <f>+('Input Data'!K23+'Input Data'!L23+'Input Data'!M23)*G20/'Input Data'!O23</f>
        <v>8.775</v>
      </c>
      <c r="K20" s="13">
        <f>+'Input Data'!N23*G20</f>
        <v>2.275</v>
      </c>
      <c r="N20" s="12" t="str">
        <f>+'Input Data'!I23</f>
        <v>Dry_Etch(C) </v>
      </c>
      <c r="O20" s="147">
        <v>0.03958594515269375</v>
      </c>
      <c r="P20" s="356">
        <v>0.1809683814840814</v>
      </c>
      <c r="Q20" s="147">
        <v>0.04453402747767214</v>
      </c>
      <c r="R20" s="356">
        <v>0.17773609806801596</v>
      </c>
      <c r="S20" s="147">
        <v>0.04453402747767214</v>
      </c>
      <c r="T20" s="356">
        <v>0.17450465486079272</v>
      </c>
      <c r="U20" s="147">
        <v>0.04948339635551715</v>
      </c>
      <c r="V20" s="357">
        <v>0.15188371220138783</v>
      </c>
      <c r="W20" s="73"/>
      <c r="X20" s="12" t="str">
        <f>+'Input Data'!I23</f>
        <v>Dry_Etch(C) </v>
      </c>
      <c r="Y20" s="36">
        <f t="shared" si="3"/>
        <v>0.5011533755615502</v>
      </c>
      <c r="Z20" s="7">
        <f t="shared" si="4"/>
        <v>2.291038268780258</v>
      </c>
      <c r="AA20" s="36">
        <f t="shared" si="5"/>
        <v>0.5637955115558861</v>
      </c>
      <c r="AB20" s="37">
        <f t="shared" si="6"/>
        <v>2.2501179436879926</v>
      </c>
      <c r="AC20" s="7">
        <f t="shared" si="7"/>
        <v>0.5637955115558861</v>
      </c>
      <c r="AD20" s="7">
        <f t="shared" si="8"/>
        <v>2.209208255540123</v>
      </c>
      <c r="AE20" s="36">
        <f t="shared" si="9"/>
        <v>0.6264539351570849</v>
      </c>
      <c r="AF20" s="13">
        <f t="shared" si="10"/>
        <v>1.9228298015606404</v>
      </c>
      <c r="AH20" s="12" t="str">
        <f>+'Input Data'!I23</f>
        <v>Dry_Etch(C) </v>
      </c>
      <c r="AI20" s="12">
        <f t="shared" si="11"/>
        <v>0.5146172869850187</v>
      </c>
      <c r="AJ20" s="7">
        <f t="shared" si="12"/>
        <v>2.3525889592930582</v>
      </c>
      <c r="AK20" s="36">
        <f t="shared" si="13"/>
        <v>0.5789423572097379</v>
      </c>
      <c r="AL20" s="37">
        <f t="shared" si="14"/>
        <v>2.3105692748842075</v>
      </c>
      <c r="AM20" s="7">
        <f t="shared" si="15"/>
        <v>0.5789423572097379</v>
      </c>
      <c r="AN20" s="7">
        <f t="shared" si="16"/>
        <v>2.2685605131903053</v>
      </c>
      <c r="AO20" s="36">
        <f t="shared" si="17"/>
        <v>0.6432841526217229</v>
      </c>
      <c r="AP20" s="13">
        <f t="shared" si="18"/>
        <v>1.9744882586180417</v>
      </c>
      <c r="AT20" s="12" t="str">
        <f>+'Input Data'!I23</f>
        <v>Dry_Etch(C) </v>
      </c>
      <c r="AU20" s="92">
        <f>+(O20+P20/2)*'Input Data'!$E$37</f>
        <v>19.510520384210167</v>
      </c>
      <c r="AV20" s="1">
        <f>+(Q20+R20/2)*'Input Data'!$E$37</f>
        <v>20.01031147675202</v>
      </c>
      <c r="AW20" s="88">
        <f>+(S20+T20/2)*'Input Data'!$E$37</f>
        <v>19.767953236210275</v>
      </c>
      <c r="AX20" s="22">
        <f>+(U20+V20/2)*'Input Data'!$E$37</f>
        <v>18.813787868431657</v>
      </c>
      <c r="BA20" s="12" t="str">
        <f>+'Input Data'!I23</f>
        <v>Dry_Etch(C) </v>
      </c>
      <c r="BB20" s="30">
        <f>+('Input Data'!$C$37/'Input Data'!$B$37+'Input Data'!$D$37)*AU20</f>
        <v>1112.0996618999795</v>
      </c>
      <c r="BC20" s="30">
        <f>+('Input Data'!$C$37/'Input Data'!$B$37+'Input Data'!$D$37)*AV20</f>
        <v>1140.587754174865</v>
      </c>
      <c r="BD20" s="30">
        <f>+('Input Data'!$C$37/'Input Data'!$B$37+'Input Data'!$D$37)*AW20</f>
        <v>1126.7733344639857</v>
      </c>
      <c r="BE20" s="30">
        <f>+('Input Data'!$C$37/'Input Data'!$B$37+'Input Data'!$D$37)*AX20</f>
        <v>1072.3859085006045</v>
      </c>
      <c r="BF20" s="12">
        <f>+('Input Data'!$C$34/'Input Data'!$B$34+'Input Data'!$D$34)*'Input Data'!P23</f>
        <v>126000</v>
      </c>
      <c r="BG20" s="12">
        <f>+('Input Data'!$C$35/'Input Data'!$B$35+'Input Data'!$D$35)*'Input Data'!$Q23</f>
        <v>91200</v>
      </c>
      <c r="BI20" s="12" t="str">
        <f>+'Input Data'!I23</f>
        <v>Dry_Etch(C) </v>
      </c>
      <c r="BJ20" s="30">
        <f t="shared" si="19"/>
        <v>14079.049960086857</v>
      </c>
      <c r="BK20" s="30">
        <f t="shared" si="20"/>
        <v>14439.705833068994</v>
      </c>
      <c r="BL20" s="30">
        <f t="shared" si="21"/>
        <v>14264.816916236852</v>
      </c>
      <c r="BM20" s="30">
        <f t="shared" si="22"/>
        <v>13576.278547264812</v>
      </c>
      <c r="BN20" s="74">
        <f t="shared" si="23"/>
        <v>1595145.0717467181</v>
      </c>
      <c r="BO20" s="22">
        <f t="shared" si="24"/>
        <v>1154581.194788101</v>
      </c>
      <c r="BQ20" s="12" t="str">
        <f>+'Input Data'!I23</f>
        <v>Dry_Etch(C) </v>
      </c>
      <c r="BR20" s="30">
        <f t="shared" si="25"/>
        <v>14457.295604699733</v>
      </c>
      <c r="BS20" s="30">
        <f t="shared" si="26"/>
        <v>14827.640804273246</v>
      </c>
      <c r="BT20" s="30">
        <f t="shared" si="27"/>
        <v>14648.053348031815</v>
      </c>
      <c r="BU20" s="30">
        <f t="shared" si="28"/>
        <v>13941.01681050786</v>
      </c>
      <c r="BV20" s="74">
        <f t="shared" si="29"/>
        <v>1638000</v>
      </c>
      <c r="BW20" s="22">
        <f t="shared" si="30"/>
        <v>1185600</v>
      </c>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row>
    <row r="21" spans="5:138" ht="12.75">
      <c r="E21" s="12" t="str">
        <f>+'Input Data'!I24</f>
        <v>Dry_Etch(I)</v>
      </c>
      <c r="F21" s="211">
        <v>8.488505755157952</v>
      </c>
      <c r="G21" s="33">
        <f t="shared" si="2"/>
        <v>9</v>
      </c>
      <c r="H21" s="1">
        <f>+('Input Data'!K24+'Input Data'!L24+'Input Data'!M24)*F21/'Input Data'!O24</f>
        <v>5.729741384731618</v>
      </c>
      <c r="I21" s="20">
        <f>+'Input Data'!N24*F21</f>
        <v>1.4854885071526416</v>
      </c>
      <c r="J21" s="30">
        <f>+('Input Data'!K24+'Input Data'!L24+'Input Data'!M24)*G21/'Input Data'!O24</f>
        <v>6.075</v>
      </c>
      <c r="K21" s="13">
        <f>+'Input Data'!N24*G21</f>
        <v>1.575</v>
      </c>
      <c r="N21" s="12" t="str">
        <f>+'Input Data'!I24</f>
        <v>Dry_Etch(I)</v>
      </c>
      <c r="O21" s="147">
        <v>0.03958594515269375</v>
      </c>
      <c r="P21" s="356">
        <v>0.1809683814840814</v>
      </c>
      <c r="Q21" s="147">
        <v>0.04453402747767214</v>
      </c>
      <c r="R21" s="356">
        <v>0.17773609806801596</v>
      </c>
      <c r="S21" s="147">
        <v>0.04453402747767214</v>
      </c>
      <c r="T21" s="356">
        <v>0.17450465486079272</v>
      </c>
      <c r="U21" s="147">
        <v>0.04948339635551715</v>
      </c>
      <c r="V21" s="357">
        <v>0.15188371220138783</v>
      </c>
      <c r="W21" s="73"/>
      <c r="X21" s="12" t="str">
        <f>+'Input Data'!I24</f>
        <v>Dry_Etch(I)</v>
      </c>
      <c r="Y21" s="36">
        <f t="shared" si="3"/>
        <v>0.33602552325200796</v>
      </c>
      <c r="Z21" s="7">
        <f t="shared" si="4"/>
        <v>1.5361511477292447</v>
      </c>
      <c r="AA21" s="36">
        <f t="shared" si="5"/>
        <v>0.37802734854458236</v>
      </c>
      <c r="AB21" s="37">
        <f t="shared" si="6"/>
        <v>1.5087138913496716</v>
      </c>
      <c r="AC21" s="7">
        <f t="shared" si="7"/>
        <v>0.37802734854458236</v>
      </c>
      <c r="AD21" s="7">
        <f t="shared" si="8"/>
        <v>1.481283767087691</v>
      </c>
      <c r="AE21" s="36">
        <f t="shared" si="9"/>
        <v>0.42004009474856935</v>
      </c>
      <c r="AF21" s="13">
        <f t="shared" si="10"/>
        <v>1.2892657651362347</v>
      </c>
      <c r="AH21" s="12" t="str">
        <f>+'Input Data'!I24</f>
        <v>Dry_Etch(I)</v>
      </c>
      <c r="AI21" s="12">
        <f t="shared" si="11"/>
        <v>0.35627350637424376</v>
      </c>
      <c r="AJ21" s="7">
        <f t="shared" si="12"/>
        <v>1.6287154333567326</v>
      </c>
      <c r="AK21" s="36">
        <f t="shared" si="13"/>
        <v>0.4008062472990493</v>
      </c>
      <c r="AL21" s="37">
        <f t="shared" si="14"/>
        <v>1.5996248826121438</v>
      </c>
      <c r="AM21" s="7">
        <f t="shared" si="15"/>
        <v>0.4008062472990493</v>
      </c>
      <c r="AN21" s="7">
        <f t="shared" si="16"/>
        <v>1.5705418937471345</v>
      </c>
      <c r="AO21" s="36">
        <f t="shared" si="17"/>
        <v>0.4453505671996543</v>
      </c>
      <c r="AP21" s="13">
        <f t="shared" si="18"/>
        <v>1.3669534098124905</v>
      </c>
      <c r="AT21" s="12" t="str">
        <f>+'Input Data'!I24</f>
        <v>Dry_Etch(I)</v>
      </c>
      <c r="AU21" s="92">
        <f>+(O21+P21/2)*'Input Data'!$E$37</f>
        <v>19.510520384210167</v>
      </c>
      <c r="AV21" s="1">
        <f>+(Q21+R21/2)*'Input Data'!$E$37</f>
        <v>20.01031147675202</v>
      </c>
      <c r="AW21" s="88">
        <f>+(S21+T21/2)*'Input Data'!$E$37</f>
        <v>19.767953236210275</v>
      </c>
      <c r="AX21" s="22">
        <f>+(U21+V21/2)*'Input Data'!$E$37</f>
        <v>18.813787868431657</v>
      </c>
      <c r="BA21" s="12" t="str">
        <f>+'Input Data'!I24</f>
        <v>Dry_Etch(I)</v>
      </c>
      <c r="BB21" s="30">
        <f>+('Input Data'!$C$37/'Input Data'!$B$37+'Input Data'!$D$37)*AU21</f>
        <v>1112.0996618999795</v>
      </c>
      <c r="BC21" s="30">
        <f>+('Input Data'!$C$37/'Input Data'!$B$37+'Input Data'!$D$37)*AV21</f>
        <v>1140.587754174865</v>
      </c>
      <c r="BD21" s="30">
        <f>+('Input Data'!$C$37/'Input Data'!$B$37+'Input Data'!$D$37)*AW21</f>
        <v>1126.7733344639857</v>
      </c>
      <c r="BE21" s="30">
        <f>+('Input Data'!$C$37/'Input Data'!$B$37+'Input Data'!$D$37)*AX21</f>
        <v>1072.3859085006045</v>
      </c>
      <c r="BF21" s="12">
        <f>+('Input Data'!$C$34/'Input Data'!$B$34+'Input Data'!$D$34)*'Input Data'!P24</f>
        <v>126000</v>
      </c>
      <c r="BG21" s="12">
        <f>+('Input Data'!$C$35/'Input Data'!$B$35+'Input Data'!$D$35)*'Input Data'!$Q24</f>
        <v>91200</v>
      </c>
      <c r="BI21" s="12" t="str">
        <f>+'Input Data'!I24</f>
        <v>Dry_Etch(I)</v>
      </c>
      <c r="BJ21" s="30">
        <f t="shared" si="19"/>
        <v>9440.064380347188</v>
      </c>
      <c r="BK21" s="30">
        <f t="shared" si="20"/>
        <v>9681.885715576025</v>
      </c>
      <c r="BL21" s="30">
        <f t="shared" si="21"/>
        <v>9564.621934356059</v>
      </c>
      <c r="BM21" s="30">
        <f t="shared" si="22"/>
        <v>9102.95395605767</v>
      </c>
      <c r="BN21" s="74">
        <f t="shared" si="23"/>
        <v>1069551.725149902</v>
      </c>
      <c r="BO21" s="22">
        <f t="shared" si="24"/>
        <v>774151.7248704053</v>
      </c>
      <c r="BQ21" s="12" t="str">
        <f>+'Input Data'!I24</f>
        <v>Dry_Etch(I)</v>
      </c>
      <c r="BR21" s="30">
        <f t="shared" si="25"/>
        <v>10008.896957099816</v>
      </c>
      <c r="BS21" s="30">
        <f t="shared" si="26"/>
        <v>10265.289787573785</v>
      </c>
      <c r="BT21" s="30">
        <f t="shared" si="27"/>
        <v>10140.960010175872</v>
      </c>
      <c r="BU21" s="30">
        <f t="shared" si="28"/>
        <v>9651.47317650544</v>
      </c>
      <c r="BV21" s="74">
        <f t="shared" si="29"/>
        <v>1134000</v>
      </c>
      <c r="BW21" s="22">
        <f t="shared" si="30"/>
        <v>820800</v>
      </c>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row>
    <row r="22" spans="5:138" ht="12.75">
      <c r="E22" s="12" t="str">
        <f>+'Input Data'!I25</f>
        <v>Dry_Etch_Met</v>
      </c>
      <c r="F22" s="211">
        <v>6.586435451116097</v>
      </c>
      <c r="G22" s="33">
        <f t="shared" si="2"/>
        <v>7</v>
      </c>
      <c r="H22" s="1">
        <f>+('Input Data'!K25+'Input Data'!L25+'Input Data'!M25)*F22/'Input Data'!O25</f>
        <v>4.445843929503366</v>
      </c>
      <c r="I22" s="20">
        <f>+'Input Data'!N25*F22</f>
        <v>1.152626203945317</v>
      </c>
      <c r="J22" s="30">
        <f>+('Input Data'!K25+'Input Data'!L25+'Input Data'!M25)*G22/'Input Data'!O25</f>
        <v>4.725</v>
      </c>
      <c r="K22" s="13">
        <f>+'Input Data'!N25*G22</f>
        <v>1.2249999999999999</v>
      </c>
      <c r="N22" s="12" t="str">
        <f>+'Input Data'!I25</f>
        <v>Dry_Etch_Met</v>
      </c>
      <c r="O22" s="147">
        <v>0.03958594515269375</v>
      </c>
      <c r="P22" s="356">
        <v>0.1809683814840814</v>
      </c>
      <c r="Q22" s="147">
        <v>0.04453402747767214</v>
      </c>
      <c r="R22" s="356">
        <v>0.17773609806801596</v>
      </c>
      <c r="S22" s="147">
        <v>0.04453402747767214</v>
      </c>
      <c r="T22" s="356">
        <v>0.17450465486079272</v>
      </c>
      <c r="U22" s="147">
        <v>0.04948339635551715</v>
      </c>
      <c r="V22" s="357">
        <v>0.15188371220138783</v>
      </c>
      <c r="W22" s="73"/>
      <c r="X22" s="12" t="str">
        <f>+'Input Data'!I25</f>
        <v>Dry_Etch_Met</v>
      </c>
      <c r="Y22" s="36">
        <f t="shared" si="3"/>
        <v>0.26073027251963954</v>
      </c>
      <c r="Z22" s="7">
        <f t="shared" si="4"/>
        <v>1.1919365633378556</v>
      </c>
      <c r="AA22" s="36">
        <f t="shared" si="5"/>
        <v>0.29332049735991816</v>
      </c>
      <c r="AB22" s="37">
        <f t="shared" si="6"/>
        <v>1.1706473372582276</v>
      </c>
      <c r="AC22" s="7">
        <f t="shared" si="7"/>
        <v>0.29332049735991816</v>
      </c>
      <c r="AD22" s="7">
        <f t="shared" si="8"/>
        <v>1.149363645159904</v>
      </c>
      <c r="AE22" s="36">
        <f t="shared" si="9"/>
        <v>0.3259191959976072</v>
      </c>
      <c r="AF22" s="13">
        <f t="shared" si="10"/>
        <v>1.0003722664903354</v>
      </c>
      <c r="AH22" s="12" t="str">
        <f>+'Input Data'!I25</f>
        <v>Dry_Etch_Met</v>
      </c>
      <c r="AI22" s="12">
        <f t="shared" si="11"/>
        <v>0.27710161606885625</v>
      </c>
      <c r="AJ22" s="7">
        <f t="shared" si="12"/>
        <v>1.2667786703885697</v>
      </c>
      <c r="AK22" s="36">
        <f t="shared" si="13"/>
        <v>0.311738192343705</v>
      </c>
      <c r="AL22" s="37">
        <f t="shared" si="14"/>
        <v>1.2441526864761117</v>
      </c>
      <c r="AM22" s="7">
        <f t="shared" si="15"/>
        <v>0.311738192343705</v>
      </c>
      <c r="AN22" s="7">
        <f t="shared" si="16"/>
        <v>1.221532584025549</v>
      </c>
      <c r="AO22" s="36">
        <f t="shared" si="17"/>
        <v>0.34638377448862007</v>
      </c>
      <c r="AP22" s="13">
        <f t="shared" si="18"/>
        <v>1.0631859854097148</v>
      </c>
      <c r="AT22" s="12" t="str">
        <f>+'Input Data'!I25</f>
        <v>Dry_Etch_Met</v>
      </c>
      <c r="AU22" s="92">
        <f>+(O22+P22/2)*'Input Data'!$E$37</f>
        <v>19.510520384210167</v>
      </c>
      <c r="AV22" s="1">
        <f>+(Q22+R22/2)*'Input Data'!$E$37</f>
        <v>20.01031147675202</v>
      </c>
      <c r="AW22" s="88">
        <f>+(S22+T22/2)*'Input Data'!$E$37</f>
        <v>19.767953236210275</v>
      </c>
      <c r="AX22" s="22">
        <f>+(U22+V22/2)*'Input Data'!$E$37</f>
        <v>18.813787868431657</v>
      </c>
      <c r="BA22" s="12" t="str">
        <f>+'Input Data'!I25</f>
        <v>Dry_Etch_Met</v>
      </c>
      <c r="BB22" s="30">
        <f>+('Input Data'!$C$37/'Input Data'!$B$37+'Input Data'!$D$37)*AU22</f>
        <v>1112.0996618999795</v>
      </c>
      <c r="BC22" s="30">
        <f>+('Input Data'!$C$37/'Input Data'!$B$37+'Input Data'!$D$37)*AV22</f>
        <v>1140.587754174865</v>
      </c>
      <c r="BD22" s="30">
        <f>+('Input Data'!$C$37/'Input Data'!$B$37+'Input Data'!$D$37)*AW22</f>
        <v>1126.7733344639857</v>
      </c>
      <c r="BE22" s="30">
        <f>+('Input Data'!$C$37/'Input Data'!$B$37+'Input Data'!$D$37)*AX22</f>
        <v>1072.3859085006045</v>
      </c>
      <c r="BF22" s="12">
        <f>+('Input Data'!$C$34/'Input Data'!$B$34+'Input Data'!$D$34)*'Input Data'!P25</f>
        <v>126000</v>
      </c>
      <c r="BG22" s="12">
        <f>+('Input Data'!$C$35/'Input Data'!$B$35+'Input Data'!$D$35)*'Input Data'!$Q25</f>
        <v>91200</v>
      </c>
      <c r="BI22" s="12" t="str">
        <f>+'Input Data'!I25</f>
        <v>Dry_Etch_Met</v>
      </c>
      <c r="BJ22" s="30">
        <f t="shared" si="19"/>
        <v>7324.772638312251</v>
      </c>
      <c r="BK22" s="30">
        <f t="shared" si="20"/>
        <v>7512.407619206223</v>
      </c>
      <c r="BL22" s="30">
        <f t="shared" si="21"/>
        <v>7421.419835485891</v>
      </c>
      <c r="BM22" s="30">
        <f t="shared" si="22"/>
        <v>7063.200565025725</v>
      </c>
      <c r="BN22" s="74">
        <f t="shared" si="23"/>
        <v>829890.8668406282</v>
      </c>
      <c r="BO22" s="22">
        <f t="shared" si="24"/>
        <v>600682.9131417881</v>
      </c>
      <c r="BQ22" s="12" t="str">
        <f>+'Input Data'!I25</f>
        <v>Dry_Etch_Met</v>
      </c>
      <c r="BR22" s="30">
        <f t="shared" si="25"/>
        <v>7784.6976332998565</v>
      </c>
      <c r="BS22" s="30">
        <f t="shared" si="26"/>
        <v>7984.114279224055</v>
      </c>
      <c r="BT22" s="30">
        <f t="shared" si="27"/>
        <v>7887.4133412479005</v>
      </c>
      <c r="BU22" s="30">
        <f t="shared" si="28"/>
        <v>7506.701359504232</v>
      </c>
      <c r="BV22" s="74">
        <f t="shared" si="29"/>
        <v>882000</v>
      </c>
      <c r="BW22" s="22">
        <f t="shared" si="30"/>
        <v>638400</v>
      </c>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row>
    <row r="23" spans="5:138" ht="12.75">
      <c r="E23" s="12" t="str">
        <f>+'Input Data'!I26</f>
        <v>Dry_Strip</v>
      </c>
      <c r="F23" s="211">
        <v>1.778603847235521</v>
      </c>
      <c r="G23" s="33">
        <f t="shared" si="2"/>
        <v>2</v>
      </c>
      <c r="H23" s="1">
        <f>+('Input Data'!K26+'Input Data'!L26+'Input Data'!M26)*F23/'Input Data'!O26</f>
        <v>0.4802230387535906</v>
      </c>
      <c r="I23" s="20">
        <f>+'Input Data'!N26*F23</f>
        <v>0.12450226930648649</v>
      </c>
      <c r="J23" s="30">
        <f>+('Input Data'!K26+'Input Data'!L26+'Input Data'!M26)*G23/'Input Data'!O26</f>
        <v>0.5399999999999999</v>
      </c>
      <c r="K23" s="13">
        <f>+'Input Data'!N26*G23</f>
        <v>0.14</v>
      </c>
      <c r="N23" s="12" t="str">
        <f>+'Input Data'!I26</f>
        <v>Dry_Strip</v>
      </c>
      <c r="O23" s="147">
        <v>0.019792972576346875</v>
      </c>
      <c r="P23" s="356">
        <v>0.12064558765605429</v>
      </c>
      <c r="Q23" s="147">
        <v>0.02226701373883607</v>
      </c>
      <c r="R23" s="356">
        <v>0.118490732045344</v>
      </c>
      <c r="S23" s="147">
        <v>0.02226701373883607</v>
      </c>
      <c r="T23" s="356">
        <v>0.11633643657386183</v>
      </c>
      <c r="U23" s="147">
        <v>0.024741698177758575</v>
      </c>
      <c r="V23" s="357">
        <v>0.10125580813425857</v>
      </c>
      <c r="W23" s="73"/>
      <c r="X23" s="12" t="str">
        <f>+'Input Data'!I26</f>
        <v>Dry_Strip</v>
      </c>
      <c r="Y23" s="36">
        <f t="shared" si="3"/>
        <v>0.035203857172517714</v>
      </c>
      <c r="Z23" s="7">
        <f t="shared" si="4"/>
        <v>0.21458070635704846</v>
      </c>
      <c r="AA23" s="36">
        <f t="shared" si="5"/>
        <v>0.039604196302340036</v>
      </c>
      <c r="AB23" s="37">
        <f t="shared" si="6"/>
        <v>0.21074807187760206</v>
      </c>
      <c r="AC23" s="7">
        <f t="shared" si="7"/>
        <v>0.039604196302340036</v>
      </c>
      <c r="AD23" s="7">
        <f t="shared" si="8"/>
        <v>0.20691643366394183</v>
      </c>
      <c r="AE23" s="36">
        <f t="shared" si="9"/>
        <v>0.04400567956610148</v>
      </c>
      <c r="AF23" s="13">
        <f t="shared" si="10"/>
        <v>0.18009396990253404</v>
      </c>
      <c r="AH23" s="12" t="str">
        <f>+'Input Data'!I26</f>
        <v>Dry_Strip</v>
      </c>
      <c r="AI23" s="12">
        <f t="shared" si="11"/>
        <v>0.03958594515269375</v>
      </c>
      <c r="AJ23" s="7">
        <f t="shared" si="12"/>
        <v>0.24129117531210859</v>
      </c>
      <c r="AK23" s="36">
        <f t="shared" si="13"/>
        <v>0.04453402747767214</v>
      </c>
      <c r="AL23" s="37">
        <f t="shared" si="14"/>
        <v>0.236981464090688</v>
      </c>
      <c r="AM23" s="7">
        <f t="shared" si="15"/>
        <v>0.04453402747767214</v>
      </c>
      <c r="AN23" s="7">
        <f t="shared" si="16"/>
        <v>0.23267287314772367</v>
      </c>
      <c r="AO23" s="36">
        <f t="shared" si="17"/>
        <v>0.04948339635551715</v>
      </c>
      <c r="AP23" s="13">
        <f t="shared" si="18"/>
        <v>0.20251161626851713</v>
      </c>
      <c r="AT23" s="12" t="str">
        <f>+'Input Data'!I26</f>
        <v>Dry_Strip</v>
      </c>
      <c r="AU23" s="92">
        <f>+(O23+P23/2)*'Input Data'!$E$37</f>
        <v>12.017364960656105</v>
      </c>
      <c r="AV23" s="1">
        <f>+(Q23+R23/2)*'Input Data'!$E$37</f>
        <v>12.226856964226211</v>
      </c>
      <c r="AW23" s="88">
        <f>+(S23+T23/2)*'Input Data'!$E$37</f>
        <v>12.06528480386505</v>
      </c>
      <c r="AX23" s="22">
        <f>+(U23+V23/2)*'Input Data'!$E$37</f>
        <v>11.305440336733177</v>
      </c>
      <c r="BA23" s="12" t="str">
        <f>+'Input Data'!I26</f>
        <v>Dry_Strip</v>
      </c>
      <c r="BB23" s="30">
        <f>+('Input Data'!$C$37/'Input Data'!$B$37+'Input Data'!$D$37)*AU23</f>
        <v>684.9898027573979</v>
      </c>
      <c r="BC23" s="30">
        <f>+('Input Data'!$C$37/'Input Data'!$B$37+'Input Data'!$D$37)*AV23</f>
        <v>696.9308469608941</v>
      </c>
      <c r="BD23" s="30">
        <f>+('Input Data'!$C$37/'Input Data'!$B$37+'Input Data'!$D$37)*AW23</f>
        <v>687.7212338203078</v>
      </c>
      <c r="BE23" s="30">
        <f>+('Input Data'!$C$37/'Input Data'!$B$37+'Input Data'!$D$37)*AX23</f>
        <v>644.4100991937911</v>
      </c>
      <c r="BF23" s="12">
        <f>+('Input Data'!$C$34/'Input Data'!$B$34+'Input Data'!$D$34)*'Input Data'!P26</f>
        <v>88200</v>
      </c>
      <c r="BG23" s="12">
        <f>+('Input Data'!$C$35/'Input Data'!$B$35+'Input Data'!$D$35)*'Input Data'!$Q26</f>
        <v>63840</v>
      </c>
      <c r="BI23" s="12" t="str">
        <f>+'Input Data'!I26</f>
        <v>Dry_Strip</v>
      </c>
      <c r="BJ23" s="30">
        <f t="shared" si="19"/>
        <v>1218.3254985014087</v>
      </c>
      <c r="BK23" s="30">
        <f t="shared" si="20"/>
        <v>1239.5638856617563</v>
      </c>
      <c r="BL23" s="30">
        <f t="shared" si="21"/>
        <v>1223.1836322983588</v>
      </c>
      <c r="BM23" s="30">
        <f t="shared" si="22"/>
        <v>1146.1502816235006</v>
      </c>
      <c r="BN23" s="74">
        <f t="shared" si="23"/>
        <v>156872.85932617294</v>
      </c>
      <c r="BO23" s="22">
        <f t="shared" si="24"/>
        <v>113546.06960751566</v>
      </c>
      <c r="BQ23" s="12" t="str">
        <f>+'Input Data'!I26</f>
        <v>Dry_Strip</v>
      </c>
      <c r="BR23" s="30">
        <f t="shared" si="25"/>
        <v>1369.9796055147958</v>
      </c>
      <c r="BS23" s="30">
        <f t="shared" si="26"/>
        <v>1393.8616939217882</v>
      </c>
      <c r="BT23" s="30">
        <f t="shared" si="27"/>
        <v>1375.4424676406156</v>
      </c>
      <c r="BU23" s="30">
        <f t="shared" si="28"/>
        <v>1288.8201983875822</v>
      </c>
      <c r="BV23" s="74">
        <f t="shared" si="29"/>
        <v>176400</v>
      </c>
      <c r="BW23" s="22">
        <f t="shared" si="30"/>
        <v>127680</v>
      </c>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row>
    <row r="24" spans="5:138" ht="12.75">
      <c r="E24" s="12" t="str">
        <f>+'Input Data'!I27</f>
        <v>Dry_Strip(D)</v>
      </c>
      <c r="F24" s="211">
        <v>1.9871576662042503</v>
      </c>
      <c r="G24" s="33">
        <f t="shared" si="2"/>
        <v>2</v>
      </c>
      <c r="H24" s="1">
        <f>+('Input Data'!K27+'Input Data'!L27+'Input Data'!M27)*F24/'Input Data'!O27</f>
        <v>0.5365325698751475</v>
      </c>
      <c r="I24" s="20">
        <f>+'Input Data'!N27*F24</f>
        <v>0.13910103663429754</v>
      </c>
      <c r="J24" s="30">
        <f>+('Input Data'!K27+'Input Data'!L27+'Input Data'!M27)*G24/'Input Data'!O27</f>
        <v>0.5399999999999999</v>
      </c>
      <c r="K24" s="13">
        <f>+'Input Data'!N27*G24</f>
        <v>0.14</v>
      </c>
      <c r="N24" s="12" t="str">
        <f>+'Input Data'!I27</f>
        <v>Dry_Strip(D)</v>
      </c>
      <c r="O24" s="147">
        <v>0.019792972576346875</v>
      </c>
      <c r="P24" s="356">
        <v>0.12064558765605429</v>
      </c>
      <c r="Q24" s="147">
        <v>0.02226701373883607</v>
      </c>
      <c r="R24" s="356">
        <v>0.118490732045344</v>
      </c>
      <c r="S24" s="147">
        <v>0.02226701373883607</v>
      </c>
      <c r="T24" s="356">
        <v>0.11633643657386183</v>
      </c>
      <c r="U24" s="147">
        <v>0.024741698177758575</v>
      </c>
      <c r="V24" s="357">
        <v>0.10125580813425857</v>
      </c>
      <c r="W24" s="73"/>
      <c r="X24" s="12" t="str">
        <f>+'Input Data'!I27</f>
        <v>Dry_Strip(D)</v>
      </c>
      <c r="Y24" s="36">
        <f t="shared" si="3"/>
        <v>0.039331757192058184</v>
      </c>
      <c r="Z24" s="7">
        <f t="shared" si="4"/>
        <v>0.23974180440444515</v>
      </c>
      <c r="AA24" s="36">
        <f t="shared" si="5"/>
        <v>0.04424806705460346</v>
      </c>
      <c r="AB24" s="37">
        <f t="shared" si="6"/>
        <v>0.23545976655805895</v>
      </c>
      <c r="AC24" s="7">
        <f t="shared" si="7"/>
        <v>0.04424806705460346</v>
      </c>
      <c r="AD24" s="7">
        <f t="shared" si="8"/>
        <v>0.23117884179663406</v>
      </c>
      <c r="AE24" s="36">
        <f t="shared" si="9"/>
        <v>0.04916565520884468</v>
      </c>
      <c r="AF24" s="13">
        <f t="shared" si="10"/>
        <v>0.2012112553816986</v>
      </c>
      <c r="AH24" s="12" t="str">
        <f>+'Input Data'!I27</f>
        <v>Dry_Strip(D)</v>
      </c>
      <c r="AI24" s="12">
        <f t="shared" si="11"/>
        <v>0.03958594515269375</v>
      </c>
      <c r="AJ24" s="7">
        <f t="shared" si="12"/>
        <v>0.24129117531210859</v>
      </c>
      <c r="AK24" s="36">
        <f t="shared" si="13"/>
        <v>0.04453402747767214</v>
      </c>
      <c r="AL24" s="37">
        <f t="shared" si="14"/>
        <v>0.236981464090688</v>
      </c>
      <c r="AM24" s="7">
        <f t="shared" si="15"/>
        <v>0.04453402747767214</v>
      </c>
      <c r="AN24" s="7">
        <f t="shared" si="16"/>
        <v>0.23267287314772367</v>
      </c>
      <c r="AO24" s="36">
        <f t="shared" si="17"/>
        <v>0.04948339635551715</v>
      </c>
      <c r="AP24" s="13">
        <f t="shared" si="18"/>
        <v>0.20251161626851713</v>
      </c>
      <c r="AT24" s="12" t="str">
        <f>+'Input Data'!I27</f>
        <v>Dry_Strip(D)</v>
      </c>
      <c r="AU24" s="92">
        <f>+(O24+P24/2)*'Input Data'!$E$37</f>
        <v>12.017364960656105</v>
      </c>
      <c r="AV24" s="1">
        <f>+(Q24+R24/2)*'Input Data'!$E$37</f>
        <v>12.226856964226211</v>
      </c>
      <c r="AW24" s="88">
        <f>+(S24+T24/2)*'Input Data'!$E$37</f>
        <v>12.06528480386505</v>
      </c>
      <c r="AX24" s="22">
        <f>+(U24+V24/2)*'Input Data'!$E$37</f>
        <v>11.305440336733177</v>
      </c>
      <c r="BA24" s="12" t="str">
        <f>+'Input Data'!I27</f>
        <v>Dry_Strip(D)</v>
      </c>
      <c r="BB24" s="30">
        <f>+('Input Data'!$C$37/'Input Data'!$B$37+'Input Data'!$D$37)*AU24</f>
        <v>684.9898027573979</v>
      </c>
      <c r="BC24" s="30">
        <f>+('Input Data'!$C$37/'Input Data'!$B$37+'Input Data'!$D$37)*AV24</f>
        <v>696.9308469608941</v>
      </c>
      <c r="BD24" s="30">
        <f>+('Input Data'!$C$37/'Input Data'!$B$37+'Input Data'!$D$37)*AW24</f>
        <v>687.7212338203078</v>
      </c>
      <c r="BE24" s="30">
        <f>+('Input Data'!$C$37/'Input Data'!$B$37+'Input Data'!$D$37)*AX24</f>
        <v>644.4100991937911</v>
      </c>
      <c r="BF24" s="12">
        <f>+('Input Data'!$C$34/'Input Data'!$B$34+'Input Data'!$D$34)*'Input Data'!P27</f>
        <v>88200</v>
      </c>
      <c r="BG24" s="12">
        <f>+('Input Data'!$C$35/'Input Data'!$B$35+'Input Data'!$D$35)*'Input Data'!$Q27</f>
        <v>63840</v>
      </c>
      <c r="BI24" s="12" t="str">
        <f>+'Input Data'!I27</f>
        <v>Dry_Strip(D)</v>
      </c>
      <c r="BJ24" s="30">
        <f t="shared" si="19"/>
        <v>1361.1827378211005</v>
      </c>
      <c r="BK24" s="30">
        <f t="shared" si="20"/>
        <v>1384.9114753525619</v>
      </c>
      <c r="BL24" s="30">
        <f t="shared" si="21"/>
        <v>1366.6105219974704</v>
      </c>
      <c r="BM24" s="30">
        <f t="shared" si="22"/>
        <v>1280.5444687923834</v>
      </c>
      <c r="BN24" s="74">
        <f t="shared" si="23"/>
        <v>175267.30615921487</v>
      </c>
      <c r="BO24" s="22">
        <f t="shared" si="24"/>
        <v>126860.14541047934</v>
      </c>
      <c r="BQ24" s="12" t="str">
        <f>+'Input Data'!I27</f>
        <v>Dry_Strip(D)</v>
      </c>
      <c r="BR24" s="30">
        <f t="shared" si="25"/>
        <v>1369.9796055147958</v>
      </c>
      <c r="BS24" s="30">
        <f t="shared" si="26"/>
        <v>1393.8616939217882</v>
      </c>
      <c r="BT24" s="30">
        <f t="shared" si="27"/>
        <v>1375.4424676406156</v>
      </c>
      <c r="BU24" s="30">
        <f t="shared" si="28"/>
        <v>1288.8201983875822</v>
      </c>
      <c r="BV24" s="74">
        <f t="shared" si="29"/>
        <v>176400</v>
      </c>
      <c r="BW24" s="22">
        <f t="shared" si="30"/>
        <v>127680</v>
      </c>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row>
    <row r="25" spans="5:138" ht="12.75">
      <c r="E25" s="12" t="str">
        <f>+'Input Data'!I28</f>
        <v>Dry_Strip(I)</v>
      </c>
      <c r="F25" s="211">
        <v>7.590804498791813</v>
      </c>
      <c r="G25" s="33">
        <f t="shared" si="2"/>
        <v>8</v>
      </c>
      <c r="H25" s="1">
        <f>+('Input Data'!K28+'Input Data'!L28+'Input Data'!M28)*F25/'Input Data'!O28</f>
        <v>2.0495172146737892</v>
      </c>
      <c r="I25" s="20">
        <f>+'Input Data'!N28*F25</f>
        <v>0.5313563149154269</v>
      </c>
      <c r="J25" s="30">
        <f>+('Input Data'!K28+'Input Data'!L28+'Input Data'!M28)*G25/'Input Data'!O28</f>
        <v>2.1599999999999997</v>
      </c>
      <c r="K25" s="13">
        <f>+'Input Data'!N28*G25</f>
        <v>0.56</v>
      </c>
      <c r="N25" s="12" t="str">
        <f>+'Input Data'!I28</f>
        <v>Dry_Strip(I)</v>
      </c>
      <c r="O25" s="147">
        <v>0.019792972576346875</v>
      </c>
      <c r="P25" s="356">
        <v>0.12064558765605429</v>
      </c>
      <c r="Q25" s="147">
        <v>0.02226701373883607</v>
      </c>
      <c r="R25" s="356">
        <v>0.118490732045344</v>
      </c>
      <c r="S25" s="147">
        <v>0.02226701373883607</v>
      </c>
      <c r="T25" s="356">
        <v>0.11633643657386183</v>
      </c>
      <c r="U25" s="147">
        <v>0.024741698177758575</v>
      </c>
      <c r="V25" s="357">
        <v>0.10125580813425857</v>
      </c>
      <c r="W25" s="73"/>
      <c r="X25" s="12" t="str">
        <f>+'Input Data'!I28</f>
        <v>Dry_Strip(I)</v>
      </c>
      <c r="Y25" s="36">
        <f t="shared" si="3"/>
        <v>0.15024458527699683</v>
      </c>
      <c r="Z25" s="7">
        <f t="shared" si="4"/>
        <v>0.9157970695389589</v>
      </c>
      <c r="AA25" s="36">
        <f t="shared" si="5"/>
        <v>0.16902454806341594</v>
      </c>
      <c r="AB25" s="37">
        <f t="shared" si="6"/>
        <v>0.8994399818749323</v>
      </c>
      <c r="AC25" s="7">
        <f t="shared" si="7"/>
        <v>0.16902454806341594</v>
      </c>
      <c r="AD25" s="7">
        <f t="shared" si="8"/>
        <v>0.8830871461182788</v>
      </c>
      <c r="AE25" s="36">
        <f t="shared" si="9"/>
        <v>0.18780939383547898</v>
      </c>
      <c r="AF25" s="13">
        <f t="shared" si="10"/>
        <v>0.7686130439143305</v>
      </c>
      <c r="AH25" s="12" t="str">
        <f>+'Input Data'!I28</f>
        <v>Dry_Strip(I)</v>
      </c>
      <c r="AI25" s="12">
        <f t="shared" si="11"/>
        <v>0.158343780610775</v>
      </c>
      <c r="AJ25" s="7">
        <f t="shared" si="12"/>
        <v>0.9651647012484343</v>
      </c>
      <c r="AK25" s="36">
        <f t="shared" si="13"/>
        <v>0.17813610991068857</v>
      </c>
      <c r="AL25" s="37">
        <f t="shared" si="14"/>
        <v>0.947925856362752</v>
      </c>
      <c r="AM25" s="7">
        <f t="shared" si="15"/>
        <v>0.17813610991068857</v>
      </c>
      <c r="AN25" s="7">
        <f t="shared" si="16"/>
        <v>0.9306914925908947</v>
      </c>
      <c r="AO25" s="36">
        <f t="shared" si="17"/>
        <v>0.1979335854220686</v>
      </c>
      <c r="AP25" s="13">
        <f t="shared" si="18"/>
        <v>0.8100464650740685</v>
      </c>
      <c r="AT25" s="12" t="str">
        <f>+'Input Data'!I28</f>
        <v>Dry_Strip(I)</v>
      </c>
      <c r="AU25" s="92">
        <f>+(O25+P25/2)*'Input Data'!$E$37</f>
        <v>12.017364960656105</v>
      </c>
      <c r="AV25" s="1">
        <f>+(Q25+R25/2)*'Input Data'!$E$37</f>
        <v>12.226856964226211</v>
      </c>
      <c r="AW25" s="88">
        <f>+(S25+T25/2)*'Input Data'!$E$37</f>
        <v>12.06528480386505</v>
      </c>
      <c r="AX25" s="22">
        <f>+(U25+V25/2)*'Input Data'!$E$37</f>
        <v>11.305440336733177</v>
      </c>
      <c r="BA25" s="12" t="str">
        <f>+'Input Data'!I28</f>
        <v>Dry_Strip(I)</v>
      </c>
      <c r="BB25" s="30">
        <f>+('Input Data'!$C$37/'Input Data'!$B$37+'Input Data'!$D$37)*AU25</f>
        <v>684.9898027573979</v>
      </c>
      <c r="BC25" s="30">
        <f>+('Input Data'!$C$37/'Input Data'!$B$37+'Input Data'!$D$37)*AV25</f>
        <v>696.9308469608941</v>
      </c>
      <c r="BD25" s="30">
        <f>+('Input Data'!$C$37/'Input Data'!$B$37+'Input Data'!$D$37)*AW25</f>
        <v>687.7212338203078</v>
      </c>
      <c r="BE25" s="30">
        <f>+('Input Data'!$C$37/'Input Data'!$B$37+'Input Data'!$D$37)*AX25</f>
        <v>644.4100991937911</v>
      </c>
      <c r="BF25" s="12">
        <f>+('Input Data'!$C$34/'Input Data'!$B$34+'Input Data'!$D$34)*'Input Data'!P28</f>
        <v>88200</v>
      </c>
      <c r="BG25" s="12">
        <f>+('Input Data'!$C$35/'Input Data'!$B$35+'Input Data'!$D$35)*'Input Data'!$Q28</f>
        <v>63840</v>
      </c>
      <c r="BI25" s="12" t="str">
        <f>+'Input Data'!I28</f>
        <v>Dry_Strip(I)</v>
      </c>
      <c r="BJ25" s="30">
        <f t="shared" si="19"/>
        <v>5199.623676397372</v>
      </c>
      <c r="BK25" s="30">
        <f t="shared" si="20"/>
        <v>5290.265808457543</v>
      </c>
      <c r="BL25" s="30">
        <f t="shared" si="21"/>
        <v>5220.357435597849</v>
      </c>
      <c r="BM25" s="30">
        <f t="shared" si="22"/>
        <v>4891.591080027108</v>
      </c>
      <c r="BN25" s="74">
        <f t="shared" si="23"/>
        <v>669508.9567934378</v>
      </c>
      <c r="BO25" s="22">
        <f t="shared" si="24"/>
        <v>484596.95920286933</v>
      </c>
      <c r="BQ25" s="12" t="str">
        <f>+'Input Data'!I28</f>
        <v>Dry_Strip(I)</v>
      </c>
      <c r="BR25" s="30">
        <f t="shared" si="25"/>
        <v>5479.918422059183</v>
      </c>
      <c r="BS25" s="30">
        <f t="shared" si="26"/>
        <v>5575.446775687153</v>
      </c>
      <c r="BT25" s="30">
        <f t="shared" si="27"/>
        <v>5501.7698705624625</v>
      </c>
      <c r="BU25" s="30">
        <f t="shared" si="28"/>
        <v>5155.280793550329</v>
      </c>
      <c r="BV25" s="74">
        <f t="shared" si="29"/>
        <v>705600</v>
      </c>
      <c r="BW25" s="22">
        <f t="shared" si="30"/>
        <v>510720</v>
      </c>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row>
    <row r="26" spans="5:138" ht="12.75">
      <c r="E26" s="12" t="str">
        <f>+'Input Data'!I29</f>
        <v>Furn_FastRmp</v>
      </c>
      <c r="F26" s="211">
        <v>7.768161187222287</v>
      </c>
      <c r="G26" s="33">
        <f t="shared" si="2"/>
        <v>8</v>
      </c>
      <c r="H26" s="1">
        <f>+('Input Data'!K29+'Input Data'!L29+'Input Data'!M29)*F26/'Input Data'!O29</f>
        <v>2.097403520550017</v>
      </c>
      <c r="I26" s="20">
        <f>+'Input Data'!N29*F26</f>
        <v>0.5437712831055601</v>
      </c>
      <c r="J26" s="30">
        <f>+('Input Data'!K29+'Input Data'!L29+'Input Data'!M29)*G26/'Input Data'!O29</f>
        <v>2.1599999999999997</v>
      </c>
      <c r="K26" s="13">
        <f>+'Input Data'!N29*G26</f>
        <v>0.56</v>
      </c>
      <c r="N26" s="12" t="str">
        <f>+'Input Data'!I29</f>
        <v>Furn_FastRmp</v>
      </c>
      <c r="O26" s="147">
        <v>0.019792972576346875</v>
      </c>
      <c r="P26" s="356">
        <v>0.12064558765605429</v>
      </c>
      <c r="Q26" s="147">
        <v>0.02226701373883607</v>
      </c>
      <c r="R26" s="356">
        <v>0.118490732045344</v>
      </c>
      <c r="S26" s="147">
        <v>0.02226701373883607</v>
      </c>
      <c r="T26" s="356">
        <v>0.11633643657386183</v>
      </c>
      <c r="U26" s="147">
        <v>0.024741698177758575</v>
      </c>
      <c r="V26" s="357">
        <v>0.10125580813425857</v>
      </c>
      <c r="W26" s="73"/>
      <c r="X26" s="12" t="str">
        <f>+'Input Data'!I29</f>
        <v>Furn_FastRmp</v>
      </c>
      <c r="Y26" s="36">
        <f t="shared" si="3"/>
        <v>0.15375500134733291</v>
      </c>
      <c r="Z26" s="7">
        <f t="shared" si="4"/>
        <v>0.9371943714393852</v>
      </c>
      <c r="AA26" s="36">
        <f t="shared" si="5"/>
        <v>0.1729737518813718</v>
      </c>
      <c r="AB26" s="37">
        <f t="shared" si="6"/>
        <v>0.9204551057201973</v>
      </c>
      <c r="AC26" s="7">
        <f t="shared" si="7"/>
        <v>0.1729737518813718</v>
      </c>
      <c r="AD26" s="7">
        <f t="shared" si="8"/>
        <v>0.9037201912528208</v>
      </c>
      <c r="AE26" s="36">
        <f t="shared" si="9"/>
        <v>0.19219749949043255</v>
      </c>
      <c r="AF26" s="13">
        <f t="shared" si="10"/>
        <v>0.7865714387293741</v>
      </c>
      <c r="AH26" s="12" t="str">
        <f>+'Input Data'!I29</f>
        <v>Furn_FastRmp</v>
      </c>
      <c r="AI26" s="12">
        <f t="shared" si="11"/>
        <v>0.158343780610775</v>
      </c>
      <c r="AJ26" s="7">
        <f t="shared" si="12"/>
        <v>0.9651647012484343</v>
      </c>
      <c r="AK26" s="36">
        <f t="shared" si="13"/>
        <v>0.17813610991068857</v>
      </c>
      <c r="AL26" s="37">
        <f t="shared" si="14"/>
        <v>0.947925856362752</v>
      </c>
      <c r="AM26" s="7">
        <f t="shared" si="15"/>
        <v>0.17813610991068857</v>
      </c>
      <c r="AN26" s="7">
        <f t="shared" si="16"/>
        <v>0.9306914925908947</v>
      </c>
      <c r="AO26" s="36">
        <f t="shared" si="17"/>
        <v>0.1979335854220686</v>
      </c>
      <c r="AP26" s="13">
        <f t="shared" si="18"/>
        <v>0.8100464650740685</v>
      </c>
      <c r="AT26" s="12" t="str">
        <f>+'Input Data'!I29</f>
        <v>Furn_FastRmp</v>
      </c>
      <c r="AU26" s="92">
        <f>+(O26+P26/2)*'Input Data'!$E$37</f>
        <v>12.017364960656105</v>
      </c>
      <c r="AV26" s="1">
        <f>+(Q26+R26/2)*'Input Data'!$E$37</f>
        <v>12.226856964226211</v>
      </c>
      <c r="AW26" s="88">
        <f>+(S26+T26/2)*'Input Data'!$E$37</f>
        <v>12.06528480386505</v>
      </c>
      <c r="AX26" s="22">
        <f>+(U26+V26/2)*'Input Data'!$E$37</f>
        <v>11.305440336733177</v>
      </c>
      <c r="BA26" s="12" t="str">
        <f>+'Input Data'!I29</f>
        <v>Furn_FastRmp</v>
      </c>
      <c r="BB26" s="30">
        <f>+('Input Data'!$C$37/'Input Data'!$B$37+'Input Data'!$D$37)*AU26</f>
        <v>684.9898027573979</v>
      </c>
      <c r="BC26" s="30">
        <f>+('Input Data'!$C$37/'Input Data'!$B$37+'Input Data'!$D$37)*AV26</f>
        <v>696.9308469608941</v>
      </c>
      <c r="BD26" s="30">
        <f>+('Input Data'!$C$37/'Input Data'!$B$37+'Input Data'!$D$37)*AW26</f>
        <v>687.7212338203078</v>
      </c>
      <c r="BE26" s="30">
        <f>+('Input Data'!$C$37/'Input Data'!$B$37+'Input Data'!$D$37)*AX26</f>
        <v>644.4100991937911</v>
      </c>
      <c r="BF26" s="12">
        <f>+('Input Data'!$C$34/'Input Data'!$B$34+'Input Data'!$D$34)*'Input Data'!P29</f>
        <v>75600</v>
      </c>
      <c r="BG26" s="12">
        <f>+('Input Data'!$C$35/'Input Data'!$B$35+'Input Data'!$D$35)*'Input Data'!$Q29</f>
        <v>54720</v>
      </c>
      <c r="BI26" s="12" t="str">
        <f>+'Input Data'!I29</f>
        <v>Furn_FastRmp</v>
      </c>
      <c r="BJ26" s="30">
        <f t="shared" si="19"/>
        <v>5321.111199423068</v>
      </c>
      <c r="BK26" s="30">
        <f t="shared" si="20"/>
        <v>5413.871155539573</v>
      </c>
      <c r="BL26" s="30">
        <f t="shared" si="21"/>
        <v>5342.329396191538</v>
      </c>
      <c r="BM26" s="30">
        <f t="shared" si="22"/>
        <v>5005.881521211271</v>
      </c>
      <c r="BN26" s="74">
        <f t="shared" si="23"/>
        <v>587272.9857540049</v>
      </c>
      <c r="BO26" s="22">
        <f t="shared" si="24"/>
        <v>425073.78016480355</v>
      </c>
      <c r="BQ26" s="12" t="str">
        <f>+'Input Data'!I29</f>
        <v>Furn_FastRmp</v>
      </c>
      <c r="BR26" s="30">
        <f t="shared" si="25"/>
        <v>5479.918422059183</v>
      </c>
      <c r="BS26" s="30">
        <f t="shared" si="26"/>
        <v>5575.446775687153</v>
      </c>
      <c r="BT26" s="30">
        <f t="shared" si="27"/>
        <v>5501.7698705624625</v>
      </c>
      <c r="BU26" s="30">
        <f t="shared" si="28"/>
        <v>5155.280793550329</v>
      </c>
      <c r="BV26" s="74">
        <f t="shared" si="29"/>
        <v>604800</v>
      </c>
      <c r="BW26" s="22">
        <f t="shared" si="30"/>
        <v>437760</v>
      </c>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row>
    <row r="27" spans="5:138" ht="12.75">
      <c r="E27" s="12" t="str">
        <f>+'Input Data'!I30</f>
        <v>Furn_Nitr</v>
      </c>
      <c r="F27" s="211">
        <v>2.314456027843943</v>
      </c>
      <c r="G27" s="33">
        <f t="shared" si="2"/>
        <v>3</v>
      </c>
      <c r="H27" s="1">
        <f>+('Input Data'!K30+'Input Data'!L30+'Input Data'!M30)*F27/'Input Data'!O30</f>
        <v>0.6249031275178646</v>
      </c>
      <c r="I27" s="20">
        <f>+'Input Data'!N30*F27</f>
        <v>0.16201192194907602</v>
      </c>
      <c r="J27" s="30">
        <f>+('Input Data'!K30+'Input Data'!L30+'Input Data'!M30)*G27/'Input Data'!O30</f>
        <v>0.8099999999999999</v>
      </c>
      <c r="K27" s="13">
        <f>+'Input Data'!N30*G27</f>
        <v>0.21000000000000002</v>
      </c>
      <c r="N27" s="12" t="str">
        <f>+'Input Data'!I30</f>
        <v>Furn_Nitr</v>
      </c>
      <c r="O27" s="147">
        <v>0.019792972576346875</v>
      </c>
      <c r="P27" s="356">
        <v>0.12064558765605429</v>
      </c>
      <c r="Q27" s="147">
        <v>0.02226701373883607</v>
      </c>
      <c r="R27" s="356">
        <v>0.118490732045344</v>
      </c>
      <c r="S27" s="147">
        <v>0.02226701373883607</v>
      </c>
      <c r="T27" s="356">
        <v>0.11633643657386183</v>
      </c>
      <c r="U27" s="147">
        <v>0.024741698177758575</v>
      </c>
      <c r="V27" s="357">
        <v>0.10125580813425857</v>
      </c>
      <c r="W27" s="73"/>
      <c r="X27" s="12" t="str">
        <f>+'Input Data'!I30</f>
        <v>Furn_Nitr</v>
      </c>
      <c r="Y27" s="36">
        <f t="shared" si="3"/>
        <v>0.04580996468827588</v>
      </c>
      <c r="Z27" s="7">
        <f t="shared" si="4"/>
        <v>0.27922890758332963</v>
      </c>
      <c r="AA27" s="36">
        <f t="shared" si="5"/>
        <v>0.05153602416993304</v>
      </c>
      <c r="AB27" s="37">
        <f t="shared" si="6"/>
        <v>0.2742415890259879</v>
      </c>
      <c r="AC27" s="7">
        <f t="shared" si="7"/>
        <v>0.05153602416993304</v>
      </c>
      <c r="AD27" s="7">
        <f t="shared" si="8"/>
        <v>0.26925556688625907</v>
      </c>
      <c r="AE27" s="36">
        <f t="shared" si="9"/>
        <v>0.057263572486608835</v>
      </c>
      <c r="AF27" s="13">
        <f t="shared" si="10"/>
        <v>0.2343521154905445</v>
      </c>
      <c r="AH27" s="12" t="str">
        <f>+'Input Data'!I30</f>
        <v>Furn_Nitr</v>
      </c>
      <c r="AI27" s="12">
        <f t="shared" si="11"/>
        <v>0.05937891772904062</v>
      </c>
      <c r="AJ27" s="7">
        <f t="shared" si="12"/>
        <v>0.3619367629681629</v>
      </c>
      <c r="AK27" s="36">
        <f t="shared" si="13"/>
        <v>0.0668010412165082</v>
      </c>
      <c r="AL27" s="37">
        <f t="shared" si="14"/>
        <v>0.355472196136032</v>
      </c>
      <c r="AM27" s="7">
        <f t="shared" si="15"/>
        <v>0.0668010412165082</v>
      </c>
      <c r="AN27" s="7">
        <f t="shared" si="16"/>
        <v>0.3490093097215855</v>
      </c>
      <c r="AO27" s="36">
        <f t="shared" si="17"/>
        <v>0.07422509453327572</v>
      </c>
      <c r="AP27" s="13">
        <f t="shared" si="18"/>
        <v>0.3037674244027757</v>
      </c>
      <c r="AT27" s="12" t="str">
        <f>+'Input Data'!I30</f>
        <v>Furn_Nitr</v>
      </c>
      <c r="AU27" s="92">
        <f>+(O27+P27/2)*'Input Data'!$E$37</f>
        <v>12.017364960656105</v>
      </c>
      <c r="AV27" s="1">
        <f>+(Q27+R27/2)*'Input Data'!$E$37</f>
        <v>12.226856964226211</v>
      </c>
      <c r="AW27" s="88">
        <f>+(S27+T27/2)*'Input Data'!$E$37</f>
        <v>12.06528480386505</v>
      </c>
      <c r="AX27" s="22">
        <f>+(U27+V27/2)*'Input Data'!$E$37</f>
        <v>11.305440336733177</v>
      </c>
      <c r="BA27" s="12" t="str">
        <f>+'Input Data'!I30</f>
        <v>Furn_Nitr</v>
      </c>
      <c r="BB27" s="30">
        <f>+('Input Data'!$C$37/'Input Data'!$B$37+'Input Data'!$D$37)*AU27</f>
        <v>684.9898027573979</v>
      </c>
      <c r="BC27" s="30">
        <f>+('Input Data'!$C$37/'Input Data'!$B$37+'Input Data'!$D$37)*AV27</f>
        <v>696.9308469608941</v>
      </c>
      <c r="BD27" s="30">
        <f>+('Input Data'!$C$37/'Input Data'!$B$37+'Input Data'!$D$37)*AW27</f>
        <v>687.7212338203078</v>
      </c>
      <c r="BE27" s="30">
        <f>+('Input Data'!$C$37/'Input Data'!$B$37+'Input Data'!$D$37)*AX27</f>
        <v>644.4100991937911</v>
      </c>
      <c r="BF27" s="12">
        <f>+('Input Data'!$C$34/'Input Data'!$B$34+'Input Data'!$D$34)*'Input Data'!P30</f>
        <v>75600</v>
      </c>
      <c r="BG27" s="12">
        <f>+('Input Data'!$C$35/'Input Data'!$B$35+'Input Data'!$D$35)*'Input Data'!$Q30</f>
        <v>54720</v>
      </c>
      <c r="BI27" s="12" t="str">
        <f>+'Input Data'!I30</f>
        <v>Furn_Nitr</v>
      </c>
      <c r="BJ27" s="30">
        <f t="shared" si="19"/>
        <v>1585.3787780034932</v>
      </c>
      <c r="BK27" s="30">
        <f t="shared" si="20"/>
        <v>1613.0157997390259</v>
      </c>
      <c r="BL27" s="30">
        <f t="shared" si="21"/>
        <v>1591.7005550916851</v>
      </c>
      <c r="BM27" s="30">
        <f t="shared" si="22"/>
        <v>1491.4588384825831</v>
      </c>
      <c r="BN27" s="74">
        <f t="shared" si="23"/>
        <v>174972.87570500208</v>
      </c>
      <c r="BO27" s="22">
        <f t="shared" si="24"/>
        <v>126647.03384362056</v>
      </c>
      <c r="BQ27" s="12" t="str">
        <f>+'Input Data'!I30</f>
        <v>Furn_Nitr</v>
      </c>
      <c r="BR27" s="30">
        <f t="shared" si="25"/>
        <v>2054.9694082721935</v>
      </c>
      <c r="BS27" s="30">
        <f t="shared" si="26"/>
        <v>2090.7925408826823</v>
      </c>
      <c r="BT27" s="30">
        <f t="shared" si="27"/>
        <v>2063.163701460923</v>
      </c>
      <c r="BU27" s="30">
        <f t="shared" si="28"/>
        <v>1933.2302975813732</v>
      </c>
      <c r="BV27" s="74">
        <f t="shared" si="29"/>
        <v>226800</v>
      </c>
      <c r="BW27" s="22">
        <f t="shared" si="30"/>
        <v>164160</v>
      </c>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row>
    <row r="28" spans="5:138" ht="12.75">
      <c r="E28" s="12" t="str">
        <f>+'Input Data'!I31</f>
        <v>Furn_OxAn</v>
      </c>
      <c r="F28" s="211">
        <v>10.019169819519087</v>
      </c>
      <c r="G28" s="33">
        <f t="shared" si="2"/>
        <v>11</v>
      </c>
      <c r="H28" s="1">
        <f>+('Input Data'!K31+'Input Data'!L31+'Input Data'!M31)*F28/'Input Data'!O31</f>
        <v>2.705175851270153</v>
      </c>
      <c r="I28" s="20">
        <f>+'Input Data'!N31*F28</f>
        <v>0.7013418873663362</v>
      </c>
      <c r="J28" s="30">
        <f>+('Input Data'!K31+'Input Data'!L31+'Input Data'!M31)*G28/'Input Data'!O31</f>
        <v>2.9699999999999998</v>
      </c>
      <c r="K28" s="13">
        <f>+'Input Data'!N31*G28</f>
        <v>0.77</v>
      </c>
      <c r="N28" s="12" t="str">
        <f>+'Input Data'!I31</f>
        <v>Furn_OxAn</v>
      </c>
      <c r="O28" s="147">
        <v>0.019792972576346875</v>
      </c>
      <c r="P28" s="356">
        <v>0.12064558765605429</v>
      </c>
      <c r="Q28" s="147">
        <v>0.02226701373883607</v>
      </c>
      <c r="R28" s="356">
        <v>0.118490732045344</v>
      </c>
      <c r="S28" s="147">
        <v>0.02226701373883607</v>
      </c>
      <c r="T28" s="356">
        <v>0.11633643657386183</v>
      </c>
      <c r="U28" s="147">
        <v>0.024741698177758575</v>
      </c>
      <c r="V28" s="357">
        <v>0.10125580813425857</v>
      </c>
      <c r="W28" s="73"/>
      <c r="X28" s="12" t="str">
        <f>+'Input Data'!I31</f>
        <v>Furn_OxAn</v>
      </c>
      <c r="Y28" s="36">
        <f t="shared" si="3"/>
        <v>0.19830915347550357</v>
      </c>
      <c r="Z28" s="7">
        <f t="shared" si="4"/>
        <v>1.2087686307016836</v>
      </c>
      <c r="AA28" s="36">
        <f t="shared" si="5"/>
        <v>0.22309699202296324</v>
      </c>
      <c r="AB28" s="37">
        <f t="shared" si="6"/>
        <v>1.1871787664014337</v>
      </c>
      <c r="AC28" s="7">
        <f t="shared" si="7"/>
        <v>0.22309699202296324</v>
      </c>
      <c r="AD28" s="7">
        <f t="shared" si="8"/>
        <v>1.165594514231233</v>
      </c>
      <c r="AE28" s="36">
        <f t="shared" si="9"/>
        <v>0.2478912756662491</v>
      </c>
      <c r="AF28" s="13">
        <f t="shared" si="10"/>
        <v>1.0144991369097787</v>
      </c>
      <c r="AH28" s="12" t="str">
        <f>+'Input Data'!I31</f>
        <v>Furn_OxAn</v>
      </c>
      <c r="AI28" s="12">
        <f t="shared" si="11"/>
        <v>0.21772269833981564</v>
      </c>
      <c r="AJ28" s="7">
        <f t="shared" si="12"/>
        <v>1.3271014642165972</v>
      </c>
      <c r="AK28" s="36">
        <f t="shared" si="13"/>
        <v>0.24493715112719677</v>
      </c>
      <c r="AL28" s="37">
        <f t="shared" si="14"/>
        <v>1.303398052498784</v>
      </c>
      <c r="AM28" s="7">
        <f t="shared" si="15"/>
        <v>0.24493715112719677</v>
      </c>
      <c r="AN28" s="7">
        <f t="shared" si="16"/>
        <v>1.27970080231248</v>
      </c>
      <c r="AO28" s="36">
        <f t="shared" si="17"/>
        <v>0.2721586799553443</v>
      </c>
      <c r="AP28" s="13">
        <f t="shared" si="18"/>
        <v>1.1138138894768441</v>
      </c>
      <c r="AT28" s="12" t="str">
        <f>+'Input Data'!I31</f>
        <v>Furn_OxAn</v>
      </c>
      <c r="AU28" s="92">
        <f>+(O28+P28/2)*'Input Data'!$E$37</f>
        <v>12.017364960656105</v>
      </c>
      <c r="AV28" s="1">
        <f>+(Q28+R28/2)*'Input Data'!$E$37</f>
        <v>12.226856964226211</v>
      </c>
      <c r="AW28" s="88">
        <f>+(S28+T28/2)*'Input Data'!$E$37</f>
        <v>12.06528480386505</v>
      </c>
      <c r="AX28" s="22">
        <f>+(U28+V28/2)*'Input Data'!$E$37</f>
        <v>11.305440336733177</v>
      </c>
      <c r="BA28" s="12" t="str">
        <f>+'Input Data'!I31</f>
        <v>Furn_OxAn</v>
      </c>
      <c r="BB28" s="30">
        <f>+('Input Data'!$C$37/'Input Data'!$B$37+'Input Data'!$D$37)*AU28</f>
        <v>684.9898027573979</v>
      </c>
      <c r="BC28" s="30">
        <f>+('Input Data'!$C$37/'Input Data'!$B$37+'Input Data'!$D$37)*AV28</f>
        <v>696.9308469608941</v>
      </c>
      <c r="BD28" s="30">
        <f>+('Input Data'!$C$37/'Input Data'!$B$37+'Input Data'!$D$37)*AW28</f>
        <v>687.7212338203078</v>
      </c>
      <c r="BE28" s="30">
        <f>+('Input Data'!$C$37/'Input Data'!$B$37+'Input Data'!$D$37)*AX28</f>
        <v>644.4100991937911</v>
      </c>
      <c r="BF28" s="12">
        <f>+('Input Data'!$C$34/'Input Data'!$B$34+'Input Data'!$D$34)*'Input Data'!P31</f>
        <v>75600</v>
      </c>
      <c r="BG28" s="12">
        <f>+('Input Data'!$C$35/'Input Data'!$B$35+'Input Data'!$D$35)*'Input Data'!$Q31</f>
        <v>54720</v>
      </c>
      <c r="BI28" s="12" t="str">
        <f>+'Input Data'!I31</f>
        <v>Furn_OxAn</v>
      </c>
      <c r="BJ28" s="30">
        <f t="shared" si="19"/>
        <v>6863.029158465253</v>
      </c>
      <c r="BK28" s="30">
        <f t="shared" si="20"/>
        <v>6982.6685081624655</v>
      </c>
      <c r="BL28" s="30">
        <f t="shared" si="21"/>
        <v>6890.3958301348575</v>
      </c>
      <c r="BM28" s="30">
        <f t="shared" si="22"/>
        <v>6456.454217235733</v>
      </c>
      <c r="BN28" s="74">
        <f t="shared" si="23"/>
        <v>757449.238355643</v>
      </c>
      <c r="BO28" s="22">
        <f t="shared" si="24"/>
        <v>548248.9725240845</v>
      </c>
      <c r="BQ28" s="12" t="str">
        <f>+'Input Data'!I31</f>
        <v>Furn_OxAn</v>
      </c>
      <c r="BR28" s="30">
        <f t="shared" si="25"/>
        <v>7534.887830331377</v>
      </c>
      <c r="BS28" s="30">
        <f t="shared" si="26"/>
        <v>7666.239316569835</v>
      </c>
      <c r="BT28" s="30">
        <f t="shared" si="27"/>
        <v>7564.933572023386</v>
      </c>
      <c r="BU28" s="30">
        <f t="shared" si="28"/>
        <v>7088.511091131702</v>
      </c>
      <c r="BV28" s="74">
        <f t="shared" si="29"/>
        <v>831600</v>
      </c>
      <c r="BW28" s="22">
        <f t="shared" si="30"/>
        <v>601920</v>
      </c>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row>
    <row r="29" spans="5:138" ht="12.75">
      <c r="E29" s="12" t="str">
        <f>+'Input Data'!I32</f>
        <v>Furn_OxAn(I)</v>
      </c>
      <c r="F29" s="211">
        <v>1.9595732164439905</v>
      </c>
      <c r="G29" s="33">
        <f t="shared" si="2"/>
        <v>2</v>
      </c>
      <c r="H29" s="1">
        <f>+('Input Data'!K32+'Input Data'!L32+'Input Data'!M32)*F29/'Input Data'!O32</f>
        <v>0.5290847684398774</v>
      </c>
      <c r="I29" s="20">
        <f>+'Input Data'!N32*F29</f>
        <v>0.13717012515107935</v>
      </c>
      <c r="J29" s="30">
        <f>+('Input Data'!K32+'Input Data'!L32+'Input Data'!M32)*G29/'Input Data'!O32</f>
        <v>0.5399999999999999</v>
      </c>
      <c r="K29" s="13">
        <f>+'Input Data'!N32*G29</f>
        <v>0.14</v>
      </c>
      <c r="N29" s="12" t="str">
        <f>+'Input Data'!I32</f>
        <v>Furn_OxAn(I)</v>
      </c>
      <c r="O29" s="147">
        <v>0.019792972576346875</v>
      </c>
      <c r="P29" s="356">
        <v>0.12064558765605429</v>
      </c>
      <c r="Q29" s="147">
        <v>0.02226701373883607</v>
      </c>
      <c r="R29" s="356">
        <v>0.118490732045344</v>
      </c>
      <c r="S29" s="147">
        <v>0.02226701373883607</v>
      </c>
      <c r="T29" s="356">
        <v>0.11633643657386183</v>
      </c>
      <c r="U29" s="147">
        <v>0.024741698177758575</v>
      </c>
      <c r="V29" s="357">
        <v>0.10125580813425857</v>
      </c>
      <c r="W29" s="73"/>
      <c r="X29" s="12" t="str">
        <f>+'Input Data'!I32</f>
        <v>Furn_OxAn(I)</v>
      </c>
      <c r="Y29" s="36">
        <f t="shared" si="3"/>
        <v>0.03878577893441974</v>
      </c>
      <c r="Z29" s="7">
        <f t="shared" si="4"/>
        <v>0.23641386225294972</v>
      </c>
      <c r="AA29" s="36">
        <f t="shared" si="5"/>
        <v>0.043633843732813524</v>
      </c>
      <c r="AB29" s="37">
        <f t="shared" si="6"/>
        <v>0.23219126491289774</v>
      </c>
      <c r="AC29" s="7">
        <f t="shared" si="7"/>
        <v>0.043633843732813524</v>
      </c>
      <c r="AD29" s="7">
        <f t="shared" si="8"/>
        <v>0.22796976520667472</v>
      </c>
      <c r="AE29" s="36">
        <f t="shared" si="9"/>
        <v>0.04848316907847679</v>
      </c>
      <c r="AF29" s="13">
        <f t="shared" si="10"/>
        <v>0.19841816962928463</v>
      </c>
      <c r="AH29" s="12" t="str">
        <f>+'Input Data'!I32</f>
        <v>Furn_OxAn(I)</v>
      </c>
      <c r="AI29" s="12">
        <f t="shared" si="11"/>
        <v>0.03958594515269375</v>
      </c>
      <c r="AJ29" s="7">
        <f t="shared" si="12"/>
        <v>0.24129117531210859</v>
      </c>
      <c r="AK29" s="36">
        <f t="shared" si="13"/>
        <v>0.04453402747767214</v>
      </c>
      <c r="AL29" s="37">
        <f t="shared" si="14"/>
        <v>0.236981464090688</v>
      </c>
      <c r="AM29" s="7">
        <f t="shared" si="15"/>
        <v>0.04453402747767214</v>
      </c>
      <c r="AN29" s="7">
        <f t="shared" si="16"/>
        <v>0.23267287314772367</v>
      </c>
      <c r="AO29" s="36">
        <f t="shared" si="17"/>
        <v>0.04948339635551715</v>
      </c>
      <c r="AP29" s="13">
        <f t="shared" si="18"/>
        <v>0.20251161626851713</v>
      </c>
      <c r="AT29" s="12" t="str">
        <f>+'Input Data'!I32</f>
        <v>Furn_OxAn(I)</v>
      </c>
      <c r="AU29" s="92">
        <f>+(O29+P29/2)*'Input Data'!$E$37</f>
        <v>12.017364960656105</v>
      </c>
      <c r="AV29" s="1">
        <f>+(Q29+R29/2)*'Input Data'!$E$37</f>
        <v>12.226856964226211</v>
      </c>
      <c r="AW29" s="88">
        <f>+(S29+T29/2)*'Input Data'!$E$37</f>
        <v>12.06528480386505</v>
      </c>
      <c r="AX29" s="22">
        <f>+(U29+V29/2)*'Input Data'!$E$37</f>
        <v>11.305440336733177</v>
      </c>
      <c r="BA29" s="12" t="str">
        <f>+'Input Data'!I32</f>
        <v>Furn_OxAn(I)</v>
      </c>
      <c r="BB29" s="30">
        <f>+('Input Data'!$C$37/'Input Data'!$B$37+'Input Data'!$D$37)*AU29</f>
        <v>684.9898027573979</v>
      </c>
      <c r="BC29" s="30">
        <f>+('Input Data'!$C$37/'Input Data'!$B$37+'Input Data'!$D$37)*AV29</f>
        <v>696.9308469608941</v>
      </c>
      <c r="BD29" s="30">
        <f>+('Input Data'!$C$37/'Input Data'!$B$37+'Input Data'!$D$37)*AW29</f>
        <v>687.7212338203078</v>
      </c>
      <c r="BE29" s="30">
        <f>+('Input Data'!$C$37/'Input Data'!$B$37+'Input Data'!$D$37)*AX29</f>
        <v>644.4100991937911</v>
      </c>
      <c r="BF29" s="12">
        <f>+('Input Data'!$C$34/'Input Data'!$B$34+'Input Data'!$D$34)*'Input Data'!P32</f>
        <v>75600</v>
      </c>
      <c r="BG29" s="12">
        <f>+('Input Data'!$C$35/'Input Data'!$B$35+'Input Data'!$D$35)*'Input Data'!$Q32</f>
        <v>54720</v>
      </c>
      <c r="BI29" s="12" t="str">
        <f>+'Input Data'!I32</f>
        <v>Furn_OxAn(I)</v>
      </c>
      <c r="BJ29" s="30">
        <f t="shared" si="19"/>
        <v>1342.2876710206488</v>
      </c>
      <c r="BK29" s="30">
        <f t="shared" si="20"/>
        <v>1365.6870214181938</v>
      </c>
      <c r="BL29" s="30">
        <f t="shared" si="21"/>
        <v>1347.6401101740903</v>
      </c>
      <c r="BM29" s="30">
        <f t="shared" si="22"/>
        <v>1262.7687707861683</v>
      </c>
      <c r="BN29" s="74">
        <f t="shared" si="23"/>
        <v>148143.7351631657</v>
      </c>
      <c r="BO29" s="22">
        <f t="shared" si="24"/>
        <v>107227.84640381516</v>
      </c>
      <c r="BQ29" s="12" t="str">
        <f>+'Input Data'!I32</f>
        <v>Furn_OxAn(I)</v>
      </c>
      <c r="BR29" s="30">
        <f t="shared" si="25"/>
        <v>1369.9796055147958</v>
      </c>
      <c r="BS29" s="30">
        <f t="shared" si="26"/>
        <v>1393.8616939217882</v>
      </c>
      <c r="BT29" s="30">
        <f t="shared" si="27"/>
        <v>1375.4424676406156</v>
      </c>
      <c r="BU29" s="30">
        <f t="shared" si="28"/>
        <v>1288.8201983875822</v>
      </c>
      <c r="BV29" s="74">
        <f t="shared" si="29"/>
        <v>151200</v>
      </c>
      <c r="BW29" s="22">
        <f t="shared" si="30"/>
        <v>109440</v>
      </c>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row>
    <row r="30" spans="5:138" ht="12.75">
      <c r="E30" s="12" t="str">
        <f>+'Input Data'!I33</f>
        <v>Furn_Poly</v>
      </c>
      <c r="F30" s="211">
        <v>3.680132020834993</v>
      </c>
      <c r="G30" s="33">
        <f t="shared" si="2"/>
        <v>4</v>
      </c>
      <c r="H30" s="1">
        <f>+('Input Data'!K33+'Input Data'!L33+'Input Data'!M33)*F30/'Input Data'!O33</f>
        <v>0.9936356456254479</v>
      </c>
      <c r="I30" s="20">
        <f>+'Input Data'!N33*F30</f>
        <v>0.25760924145844954</v>
      </c>
      <c r="J30" s="30">
        <f>+('Input Data'!K33+'Input Data'!L33+'Input Data'!M33)*G30/'Input Data'!O33</f>
        <v>1.0799999999999998</v>
      </c>
      <c r="K30" s="13">
        <f>+'Input Data'!N33*G30</f>
        <v>0.28</v>
      </c>
      <c r="N30" s="12" t="str">
        <f>+'Input Data'!I33</f>
        <v>Furn_Poly</v>
      </c>
      <c r="O30" s="147">
        <v>0.019792972576346875</v>
      </c>
      <c r="P30" s="356">
        <v>0.12064558765605429</v>
      </c>
      <c r="Q30" s="147">
        <v>0.02226701373883607</v>
      </c>
      <c r="R30" s="356">
        <v>0.118490732045344</v>
      </c>
      <c r="S30" s="147">
        <v>0.02226701373883607</v>
      </c>
      <c r="T30" s="356">
        <v>0.11633643657386183</v>
      </c>
      <c r="U30" s="147">
        <v>0.024741698177758575</v>
      </c>
      <c r="V30" s="357">
        <v>0.10125580813425857</v>
      </c>
      <c r="W30" s="73"/>
      <c r="X30" s="12" t="str">
        <f>+'Input Data'!I33</f>
        <v>Furn_Poly</v>
      </c>
      <c r="Y30" s="36">
        <f t="shared" si="3"/>
        <v>0.07284075216572303</v>
      </c>
      <c r="Z30" s="7">
        <f t="shared" si="4"/>
        <v>0.44399169030550034</v>
      </c>
      <c r="AA30" s="36">
        <f t="shared" si="5"/>
        <v>0.08194555026866333</v>
      </c>
      <c r="AB30" s="37">
        <f t="shared" si="6"/>
        <v>0.43606153717224944</v>
      </c>
      <c r="AC30" s="7">
        <f t="shared" si="7"/>
        <v>0.08194555026866333</v>
      </c>
      <c r="AD30" s="7">
        <f t="shared" si="8"/>
        <v>0.4281334454253081</v>
      </c>
      <c r="AE30" s="36">
        <f t="shared" si="9"/>
        <v>0.09105271571380412</v>
      </c>
      <c r="AF30" s="13">
        <f t="shared" si="10"/>
        <v>0.3726347418104093</v>
      </c>
      <c r="AH30" s="12" t="str">
        <f>+'Input Data'!I33</f>
        <v>Furn_Poly</v>
      </c>
      <c r="AI30" s="12">
        <f t="shared" si="11"/>
        <v>0.0791718903053875</v>
      </c>
      <c r="AJ30" s="7">
        <f t="shared" si="12"/>
        <v>0.48258235062421717</v>
      </c>
      <c r="AK30" s="36">
        <f t="shared" si="13"/>
        <v>0.08906805495534428</v>
      </c>
      <c r="AL30" s="37">
        <f t="shared" si="14"/>
        <v>0.473962928181376</v>
      </c>
      <c r="AM30" s="7">
        <f t="shared" si="15"/>
        <v>0.08906805495534428</v>
      </c>
      <c r="AN30" s="7">
        <f t="shared" si="16"/>
        <v>0.46534574629544734</v>
      </c>
      <c r="AO30" s="36">
        <f t="shared" si="17"/>
        <v>0.0989667927110343</v>
      </c>
      <c r="AP30" s="13">
        <f t="shared" si="18"/>
        <v>0.40502323253703426</v>
      </c>
      <c r="AT30" s="12" t="str">
        <f>+'Input Data'!I33</f>
        <v>Furn_Poly</v>
      </c>
      <c r="AU30" s="92">
        <f>+(O30+P30/2)*'Input Data'!$E$37</f>
        <v>12.017364960656105</v>
      </c>
      <c r="AV30" s="1">
        <f>+(Q30+R30/2)*'Input Data'!$E$37</f>
        <v>12.226856964226211</v>
      </c>
      <c r="AW30" s="88">
        <f>+(S30+T30/2)*'Input Data'!$E$37</f>
        <v>12.06528480386505</v>
      </c>
      <c r="AX30" s="22">
        <f>+(U30+V30/2)*'Input Data'!$E$37</f>
        <v>11.305440336733177</v>
      </c>
      <c r="BA30" s="12" t="str">
        <f>+'Input Data'!I33</f>
        <v>Furn_Poly</v>
      </c>
      <c r="BB30" s="30">
        <f>+('Input Data'!$C$37/'Input Data'!$B$37+'Input Data'!$D$37)*AU30</f>
        <v>684.9898027573979</v>
      </c>
      <c r="BC30" s="30">
        <f>+('Input Data'!$C$37/'Input Data'!$B$37+'Input Data'!$D$37)*AV30</f>
        <v>696.9308469608941</v>
      </c>
      <c r="BD30" s="30">
        <f>+('Input Data'!$C$37/'Input Data'!$B$37+'Input Data'!$D$37)*AW30</f>
        <v>687.7212338203078</v>
      </c>
      <c r="BE30" s="30">
        <f>+('Input Data'!$C$37/'Input Data'!$B$37+'Input Data'!$D$37)*AX30</f>
        <v>644.4100991937911</v>
      </c>
      <c r="BF30" s="12">
        <f>+('Input Data'!$C$34/'Input Data'!$B$34+'Input Data'!$D$34)*'Input Data'!P33</f>
        <v>75600</v>
      </c>
      <c r="BG30" s="12">
        <f>+('Input Data'!$C$35/'Input Data'!$B$35+'Input Data'!$D$35)*'Input Data'!$Q33</f>
        <v>54720</v>
      </c>
      <c r="BI30" s="12" t="str">
        <f>+'Input Data'!I33</f>
        <v>Furn_Poly</v>
      </c>
      <c r="BJ30" s="30">
        <f t="shared" si="19"/>
        <v>2520.852907072946</v>
      </c>
      <c r="BK30" s="30">
        <f t="shared" si="20"/>
        <v>2564.7975262084383</v>
      </c>
      <c r="BL30" s="30">
        <f t="shared" si="21"/>
        <v>2530.904933990264</v>
      </c>
      <c r="BM30" s="30">
        <f t="shared" si="22"/>
        <v>2371.5142405925244</v>
      </c>
      <c r="BN30" s="74">
        <f t="shared" si="23"/>
        <v>278217.98077512544</v>
      </c>
      <c r="BO30" s="22">
        <f t="shared" si="24"/>
        <v>201376.8241800908</v>
      </c>
      <c r="BQ30" s="12" t="str">
        <f>+'Input Data'!I33</f>
        <v>Furn_Poly</v>
      </c>
      <c r="BR30" s="30">
        <f t="shared" si="25"/>
        <v>2739.9592110295916</v>
      </c>
      <c r="BS30" s="30">
        <f t="shared" si="26"/>
        <v>2787.7233878435763</v>
      </c>
      <c r="BT30" s="30">
        <f t="shared" si="27"/>
        <v>2750.8849352812313</v>
      </c>
      <c r="BU30" s="30">
        <f t="shared" si="28"/>
        <v>2577.6403967751644</v>
      </c>
      <c r="BV30" s="74">
        <f t="shared" si="29"/>
        <v>302400</v>
      </c>
      <c r="BW30" s="22">
        <f t="shared" si="30"/>
        <v>218880</v>
      </c>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row>
    <row r="31" spans="5:138" ht="12.75">
      <c r="E31" s="12" t="str">
        <f>+'Input Data'!I34</f>
        <v>Furn_TEOS</v>
      </c>
      <c r="F31" s="211">
        <v>2.3114682982327595</v>
      </c>
      <c r="G31" s="33">
        <f t="shared" si="2"/>
        <v>3</v>
      </c>
      <c r="H31" s="1">
        <f>+('Input Data'!K34+'Input Data'!L34+'Input Data'!M34)*F31/'Input Data'!O34</f>
        <v>0.624096440522845</v>
      </c>
      <c r="I31" s="20">
        <f>+'Input Data'!N34*F31</f>
        <v>0.16180278087629318</v>
      </c>
      <c r="J31" s="30">
        <f>+('Input Data'!K34+'Input Data'!L34+'Input Data'!M34)*G31/'Input Data'!O34</f>
        <v>0.8099999999999999</v>
      </c>
      <c r="K31" s="13">
        <f>+'Input Data'!N34*G31</f>
        <v>0.21000000000000002</v>
      </c>
      <c r="N31" s="12" t="str">
        <f>+'Input Data'!I34</f>
        <v>Furn_TEOS</v>
      </c>
      <c r="O31" s="147">
        <v>0.019792972576346875</v>
      </c>
      <c r="P31" s="356">
        <v>0.12064558765605429</v>
      </c>
      <c r="Q31" s="147">
        <v>0.02226701373883607</v>
      </c>
      <c r="R31" s="356">
        <v>0.118490732045344</v>
      </c>
      <c r="S31" s="147">
        <v>0.02226701373883607</v>
      </c>
      <c r="T31" s="356">
        <v>0.11633643657386183</v>
      </c>
      <c r="U31" s="147">
        <v>0.024741698177758575</v>
      </c>
      <c r="V31" s="357">
        <v>0.10125580813425857</v>
      </c>
      <c r="W31" s="73"/>
      <c r="X31" s="12" t="str">
        <f>+'Input Data'!I34</f>
        <v>Furn_TEOS</v>
      </c>
      <c r="Y31" s="36">
        <f t="shared" si="3"/>
        <v>0.04575082863801619</v>
      </c>
      <c r="Z31" s="7">
        <f t="shared" si="4"/>
        <v>0.278868451188631</v>
      </c>
      <c r="AA31" s="36">
        <f t="shared" si="5"/>
        <v>0.05146949635363289</v>
      </c>
      <c r="AB31" s="37">
        <f t="shared" si="6"/>
        <v>0.27388757075720516</v>
      </c>
      <c r="AC31" s="7">
        <f t="shared" si="7"/>
        <v>0.05146949635363289</v>
      </c>
      <c r="AD31" s="7">
        <f t="shared" si="8"/>
        <v>0.26890798506984775</v>
      </c>
      <c r="AE31" s="36">
        <f t="shared" si="9"/>
        <v>0.057189650982332176</v>
      </c>
      <c r="AF31" s="13">
        <f t="shared" si="10"/>
        <v>0.23404959051427746</v>
      </c>
      <c r="AH31" s="12" t="str">
        <f>+'Input Data'!I34</f>
        <v>Furn_TEOS</v>
      </c>
      <c r="AI31" s="12">
        <f t="shared" si="11"/>
        <v>0.05937891772904062</v>
      </c>
      <c r="AJ31" s="7">
        <f t="shared" si="12"/>
        <v>0.3619367629681629</v>
      </c>
      <c r="AK31" s="36">
        <f t="shared" si="13"/>
        <v>0.0668010412165082</v>
      </c>
      <c r="AL31" s="37">
        <f t="shared" si="14"/>
        <v>0.355472196136032</v>
      </c>
      <c r="AM31" s="7">
        <f t="shared" si="15"/>
        <v>0.0668010412165082</v>
      </c>
      <c r="AN31" s="7">
        <f t="shared" si="16"/>
        <v>0.3490093097215855</v>
      </c>
      <c r="AO31" s="36">
        <f t="shared" si="17"/>
        <v>0.07422509453327572</v>
      </c>
      <c r="AP31" s="13">
        <f t="shared" si="18"/>
        <v>0.3037674244027757</v>
      </c>
      <c r="AT31" s="12" t="str">
        <f>+'Input Data'!I34</f>
        <v>Furn_TEOS</v>
      </c>
      <c r="AU31" s="92">
        <f>+(O31+P31/2)*'Input Data'!$E$37</f>
        <v>12.017364960656105</v>
      </c>
      <c r="AV31" s="1">
        <f>+(Q31+R31/2)*'Input Data'!$E$37</f>
        <v>12.226856964226211</v>
      </c>
      <c r="AW31" s="88">
        <f>+(S31+T31/2)*'Input Data'!$E$37</f>
        <v>12.06528480386505</v>
      </c>
      <c r="AX31" s="22">
        <f>+(U31+V31/2)*'Input Data'!$E$37</f>
        <v>11.305440336733177</v>
      </c>
      <c r="BA31" s="12" t="str">
        <f>+'Input Data'!I34</f>
        <v>Furn_TEOS</v>
      </c>
      <c r="BB31" s="30">
        <f>+('Input Data'!$C$37/'Input Data'!$B$37+'Input Data'!$D$37)*AU31</f>
        <v>684.9898027573979</v>
      </c>
      <c r="BC31" s="30">
        <f>+('Input Data'!$C$37/'Input Data'!$B$37+'Input Data'!$D$37)*AV31</f>
        <v>696.9308469608941</v>
      </c>
      <c r="BD31" s="30">
        <f>+('Input Data'!$C$37/'Input Data'!$B$37+'Input Data'!$D$37)*AW31</f>
        <v>687.7212338203078</v>
      </c>
      <c r="BE31" s="30">
        <f>+('Input Data'!$C$37/'Input Data'!$B$37+'Input Data'!$D$37)*AX31</f>
        <v>644.4100991937911</v>
      </c>
      <c r="BF31" s="12">
        <f>+('Input Data'!$C$34/'Input Data'!$B$34+'Input Data'!$D$34)*'Input Data'!P34</f>
        <v>75600</v>
      </c>
      <c r="BG31" s="12">
        <f>+('Input Data'!$C$35/'Input Data'!$B$35+'Input Data'!$D$35)*'Input Data'!$Q34</f>
        <v>54720</v>
      </c>
      <c r="BI31" s="12" t="str">
        <f>+'Input Data'!I34</f>
        <v>Furn_TEOS</v>
      </c>
      <c r="BJ31" s="30">
        <f t="shared" si="19"/>
        <v>1583.332213686436</v>
      </c>
      <c r="BK31" s="30">
        <f t="shared" si="20"/>
        <v>1610.9335588106135</v>
      </c>
      <c r="BL31" s="30">
        <f t="shared" si="21"/>
        <v>1589.6458299971605</v>
      </c>
      <c r="BM31" s="30">
        <f t="shared" si="22"/>
        <v>1489.533515347476</v>
      </c>
      <c r="BN31" s="74">
        <f t="shared" si="23"/>
        <v>174747.0033463966</v>
      </c>
      <c r="BO31" s="22">
        <f t="shared" si="24"/>
        <v>126483.5452792966</v>
      </c>
      <c r="BQ31" s="12" t="str">
        <f>+'Input Data'!I34</f>
        <v>Furn_TEOS</v>
      </c>
      <c r="BR31" s="30">
        <f t="shared" si="25"/>
        <v>2054.9694082721935</v>
      </c>
      <c r="BS31" s="30">
        <f t="shared" si="26"/>
        <v>2090.7925408826823</v>
      </c>
      <c r="BT31" s="30">
        <f t="shared" si="27"/>
        <v>2063.163701460923</v>
      </c>
      <c r="BU31" s="30">
        <f t="shared" si="28"/>
        <v>1933.2302975813732</v>
      </c>
      <c r="BV31" s="74">
        <f t="shared" si="29"/>
        <v>226800</v>
      </c>
      <c r="BW31" s="22">
        <f t="shared" si="30"/>
        <v>164160</v>
      </c>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row>
    <row r="32" spans="5:138" ht="12.75">
      <c r="E32" s="12" t="str">
        <f>+'Input Data'!I35</f>
        <v>Implant_HiE</v>
      </c>
      <c r="F32" s="211">
        <v>8.24086025096133</v>
      </c>
      <c r="G32" s="33">
        <f t="shared" si="2"/>
        <v>9</v>
      </c>
      <c r="H32" s="1">
        <f>+('Input Data'!K35+'Input Data'!L35+'Input Data'!M35)*F32/'Input Data'!O35</f>
        <v>6.675096803278677</v>
      </c>
      <c r="I32" s="20">
        <f>+'Input Data'!N35*F32</f>
        <v>1.7305806527018792</v>
      </c>
      <c r="J32" s="30">
        <f>+('Input Data'!K35+'Input Data'!L35+'Input Data'!M35)*G32/'Input Data'!O35</f>
        <v>7.289999999999999</v>
      </c>
      <c r="K32" s="13">
        <f>+'Input Data'!N35*G32</f>
        <v>1.89</v>
      </c>
      <c r="N32" s="12" t="str">
        <f>+'Input Data'!I35</f>
        <v>Implant_HiE</v>
      </c>
      <c r="O32" s="147">
        <v>0.0791718903053875</v>
      </c>
      <c r="P32" s="356">
        <v>0.30161396914013566</v>
      </c>
      <c r="Q32" s="147">
        <v>0.08906805495534428</v>
      </c>
      <c r="R32" s="356">
        <v>0.29622683011335993</v>
      </c>
      <c r="S32" s="147">
        <v>0.08906805495534428</v>
      </c>
      <c r="T32" s="356">
        <v>0.29084109143465453</v>
      </c>
      <c r="U32" s="147">
        <v>0.0989667927110343</v>
      </c>
      <c r="V32" s="357">
        <v>0.25313952033564635</v>
      </c>
      <c r="W32" s="73"/>
      <c r="X32" s="12" t="str">
        <f>+'Input Data'!I35</f>
        <v>Implant_HiE</v>
      </c>
      <c r="Y32" s="36">
        <f t="shared" si="3"/>
        <v>0.6524444838111385</v>
      </c>
      <c r="Z32" s="7">
        <f t="shared" si="4"/>
        <v>2.485558569421621</v>
      </c>
      <c r="AA32" s="36">
        <f t="shared" si="5"/>
        <v>0.733997393711936</v>
      </c>
      <c r="AB32" s="37">
        <f t="shared" si="6"/>
        <v>2.4411639095494624</v>
      </c>
      <c r="AC32" s="7">
        <f t="shared" si="7"/>
        <v>0.733997393711936</v>
      </c>
      <c r="AD32" s="7">
        <f t="shared" si="8"/>
        <v>2.396780789750054</v>
      </c>
      <c r="AE32" s="36">
        <f t="shared" si="9"/>
        <v>0.815571508217492</v>
      </c>
      <c r="AF32" s="13">
        <f t="shared" si="10"/>
        <v>2.0860874110814454</v>
      </c>
      <c r="AH32" s="12" t="str">
        <f>+'Input Data'!I35</f>
        <v>Implant_HiE</v>
      </c>
      <c r="AI32" s="12">
        <f t="shared" si="11"/>
        <v>0.7125470127484875</v>
      </c>
      <c r="AJ32" s="7">
        <f t="shared" si="12"/>
        <v>2.714525722261221</v>
      </c>
      <c r="AK32" s="36">
        <f t="shared" si="13"/>
        <v>0.8016124945980986</v>
      </c>
      <c r="AL32" s="37">
        <f t="shared" si="14"/>
        <v>2.6660414710202396</v>
      </c>
      <c r="AM32" s="7">
        <f t="shared" si="15"/>
        <v>0.8016124945980986</v>
      </c>
      <c r="AN32" s="7">
        <f t="shared" si="16"/>
        <v>2.6175698229118907</v>
      </c>
      <c r="AO32" s="36">
        <f t="shared" si="17"/>
        <v>0.8907011343993086</v>
      </c>
      <c r="AP32" s="13">
        <f t="shared" si="18"/>
        <v>2.2782556830208174</v>
      </c>
      <c r="AT32" s="12" t="str">
        <f>+'Input Data'!I35</f>
        <v>Implant_HiE</v>
      </c>
      <c r="AU32" s="92">
        <f>+(O32+P32/2)*'Input Data'!$E$37</f>
        <v>34.496831231318296</v>
      </c>
      <c r="AV32" s="1">
        <f>+(Q32+R32/2)*'Input Data'!$E$37</f>
        <v>35.57722050180364</v>
      </c>
      <c r="AW32" s="88">
        <f>+(S32+T32/2)*'Input Data'!$E$37</f>
        <v>35.17329010090073</v>
      </c>
      <c r="AX32" s="22">
        <f>+(U32+V32/2)*'Input Data'!$E$37</f>
        <v>33.83048293182863</v>
      </c>
      <c r="BA32" s="12" t="str">
        <f>+'Input Data'!I35</f>
        <v>Implant_HiE</v>
      </c>
      <c r="BB32" s="30">
        <f>+('Input Data'!$C$37/'Input Data'!$B$37+'Input Data'!$D$37)*AU32</f>
        <v>1966.3193801851428</v>
      </c>
      <c r="BC32" s="30">
        <f>+('Input Data'!$C$37/'Input Data'!$B$37+'Input Data'!$D$37)*AV32</f>
        <v>2027.9015686028074</v>
      </c>
      <c r="BD32" s="30">
        <f>+('Input Data'!$C$37/'Input Data'!$B$37+'Input Data'!$D$37)*AW32</f>
        <v>2004.8775357513416</v>
      </c>
      <c r="BE32" s="30">
        <f>+('Input Data'!$C$37/'Input Data'!$B$37+'Input Data'!$D$37)*AX32</f>
        <v>1928.3375271142318</v>
      </c>
      <c r="BF32" s="12">
        <f>+('Input Data'!$C$34/'Input Data'!$B$34+'Input Data'!$D$34)*'Input Data'!P35</f>
        <v>441000</v>
      </c>
      <c r="BG32" s="12">
        <f>+('Input Data'!$C$35/'Input Data'!$B$35+'Input Data'!$D$35)*'Input Data'!$Q35</f>
        <v>319200</v>
      </c>
      <c r="BI32" s="12" t="str">
        <f>+'Input Data'!I35</f>
        <v>Implant_HiE</v>
      </c>
      <c r="BJ32" s="30">
        <f t="shared" si="19"/>
        <v>16204.163220862662</v>
      </c>
      <c r="BK32" s="30">
        <f t="shared" si="20"/>
        <v>16711.653429561004</v>
      </c>
      <c r="BL32" s="30">
        <f t="shared" si="21"/>
        <v>16521.915592418532</v>
      </c>
      <c r="BM32" s="30">
        <f t="shared" si="22"/>
        <v>15891.160077632738</v>
      </c>
      <c r="BN32" s="74">
        <f t="shared" si="23"/>
        <v>3634219.3706739466</v>
      </c>
      <c r="BO32" s="22">
        <f t="shared" si="24"/>
        <v>2630482.5921068564</v>
      </c>
      <c r="BQ32" s="12" t="str">
        <f>+'Input Data'!I35</f>
        <v>Implant_HiE</v>
      </c>
      <c r="BR32" s="30">
        <f t="shared" si="25"/>
        <v>17696.874421666285</v>
      </c>
      <c r="BS32" s="30">
        <f t="shared" si="26"/>
        <v>18251.114117425266</v>
      </c>
      <c r="BT32" s="30">
        <f t="shared" si="27"/>
        <v>18043.897821762075</v>
      </c>
      <c r="BU32" s="30">
        <f t="shared" si="28"/>
        <v>17355.037744028086</v>
      </c>
      <c r="BV32" s="74">
        <f t="shared" si="29"/>
        <v>3969000</v>
      </c>
      <c r="BW32" s="22">
        <f t="shared" si="30"/>
        <v>2872800</v>
      </c>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row>
    <row r="33" spans="5:138" ht="12.75">
      <c r="E33" s="12" t="str">
        <f>+'Input Data'!I36</f>
        <v>Implant_LoE</v>
      </c>
      <c r="F33" s="211">
        <v>4.839368344797317</v>
      </c>
      <c r="G33" s="33">
        <f t="shared" si="2"/>
        <v>5</v>
      </c>
      <c r="H33" s="1">
        <f>+('Input Data'!K36+'Input Data'!L36+'Input Data'!M36)*F33/'Input Data'!O36</f>
        <v>3.9198883592858267</v>
      </c>
      <c r="I33" s="20">
        <f>+'Input Data'!N36*F33</f>
        <v>1.0162673524074366</v>
      </c>
      <c r="J33" s="30">
        <f>+('Input Data'!K36+'Input Data'!L36+'Input Data'!M36)*G33/'Input Data'!O36</f>
        <v>4.05</v>
      </c>
      <c r="K33" s="13">
        <f>+'Input Data'!N36*G33</f>
        <v>1.05</v>
      </c>
      <c r="N33" s="12" t="str">
        <f>+'Input Data'!I36</f>
        <v>Implant_LoE</v>
      </c>
      <c r="O33" s="147">
        <v>0.0791718903053875</v>
      </c>
      <c r="P33" s="356">
        <v>0.3619367629681628</v>
      </c>
      <c r="Q33" s="147">
        <v>0.08906805495534428</v>
      </c>
      <c r="R33" s="356">
        <v>0.3554721961360319</v>
      </c>
      <c r="S33" s="147">
        <v>0.08906805495534428</v>
      </c>
      <c r="T33" s="356">
        <v>0.34900930972158545</v>
      </c>
      <c r="U33" s="147">
        <v>0.0989667927110343</v>
      </c>
      <c r="V33" s="357">
        <v>0.30376742440277565</v>
      </c>
      <c r="W33" s="73"/>
      <c r="X33" s="12" t="str">
        <f>+'Input Data'!I36</f>
        <v>Implant_LoE</v>
      </c>
      <c r="Y33" s="36">
        <f t="shared" si="3"/>
        <v>0.3831419397416579</v>
      </c>
      <c r="Z33" s="7">
        <f t="shared" si="4"/>
        <v>1.7515453135265369</v>
      </c>
      <c r="AA33" s="36">
        <f t="shared" si="5"/>
        <v>0.43103312568356095</v>
      </c>
      <c r="AB33" s="37">
        <f t="shared" si="6"/>
        <v>1.7202608934362962</v>
      </c>
      <c r="AC33" s="7">
        <f t="shared" si="7"/>
        <v>0.43103312568356095</v>
      </c>
      <c r="AD33" s="7">
        <f t="shared" si="8"/>
        <v>1.6889846055062032</v>
      </c>
      <c r="AE33" s="36">
        <f t="shared" si="9"/>
        <v>0.47893676383189726</v>
      </c>
      <c r="AF33" s="13">
        <f t="shared" si="10"/>
        <v>1.4700424578354045</v>
      </c>
      <c r="AH33" s="12" t="str">
        <f>+'Input Data'!I36</f>
        <v>Implant_LoE</v>
      </c>
      <c r="AI33" s="12">
        <f t="shared" si="11"/>
        <v>0.3958594515269375</v>
      </c>
      <c r="AJ33" s="7">
        <f t="shared" si="12"/>
        <v>1.809683814840814</v>
      </c>
      <c r="AK33" s="36">
        <f t="shared" si="13"/>
        <v>0.44534027477672145</v>
      </c>
      <c r="AL33" s="37">
        <f t="shared" si="14"/>
        <v>1.7773609806801596</v>
      </c>
      <c r="AM33" s="7">
        <f t="shared" si="15"/>
        <v>0.44534027477672145</v>
      </c>
      <c r="AN33" s="7">
        <f t="shared" si="16"/>
        <v>1.7450465486079272</v>
      </c>
      <c r="AO33" s="36">
        <f t="shared" si="17"/>
        <v>0.4948339635551715</v>
      </c>
      <c r="AP33" s="13">
        <f t="shared" si="18"/>
        <v>1.5188371220138783</v>
      </c>
      <c r="AT33" s="12" t="str">
        <f>+'Input Data'!I36</f>
        <v>Implant_LoE</v>
      </c>
      <c r="AU33" s="92">
        <f>+(O33+P33/2)*'Input Data'!$E$37</f>
        <v>39.021040768420335</v>
      </c>
      <c r="AV33" s="1">
        <f>+(Q33+R33/2)*'Input Data'!$E$37</f>
        <v>40.02062295350404</v>
      </c>
      <c r="AW33" s="88">
        <f>+(S33+T33/2)*'Input Data'!$E$37</f>
        <v>39.53590647242055</v>
      </c>
      <c r="AX33" s="22">
        <f>+(U33+V33/2)*'Input Data'!$E$37</f>
        <v>37.627575736863314</v>
      </c>
      <c r="BA33" s="12" t="str">
        <f>+'Input Data'!I36</f>
        <v>Implant_LoE</v>
      </c>
      <c r="BB33" s="30">
        <f>+('Input Data'!$C$37/'Input Data'!$B$37+'Input Data'!$D$37)*AU33</f>
        <v>2224.199323799959</v>
      </c>
      <c r="BC33" s="30">
        <f>+('Input Data'!$C$37/'Input Data'!$B$37+'Input Data'!$D$37)*AV33</f>
        <v>2281.17550834973</v>
      </c>
      <c r="BD33" s="30">
        <f>+('Input Data'!$C$37/'Input Data'!$B$37+'Input Data'!$D$37)*AW33</f>
        <v>2253.5466689279715</v>
      </c>
      <c r="BE33" s="30">
        <f>+('Input Data'!$C$37/'Input Data'!$B$37+'Input Data'!$D$37)*AX33</f>
        <v>2144.771817001209</v>
      </c>
      <c r="BF33" s="12">
        <f>+('Input Data'!$C$34/'Input Data'!$B$34+'Input Data'!$D$34)*'Input Data'!P36</f>
        <v>252000</v>
      </c>
      <c r="BG33" s="12">
        <f>+('Input Data'!$C$35/'Input Data'!$B$35+'Input Data'!$D$35)*'Input Data'!$Q36</f>
        <v>182400</v>
      </c>
      <c r="BI33" s="12" t="str">
        <f>+'Input Data'!I36</f>
        <v>Implant_LoE</v>
      </c>
      <c r="BJ33" s="30">
        <f t="shared" si="19"/>
        <v>10763.71980011712</v>
      </c>
      <c r="BK33" s="30">
        <f t="shared" si="20"/>
        <v>11039.448544034612</v>
      </c>
      <c r="BL33" s="30">
        <f t="shared" si="21"/>
        <v>10905.742413133465</v>
      </c>
      <c r="BM33" s="30">
        <f t="shared" si="22"/>
        <v>10379.340838009075</v>
      </c>
      <c r="BN33" s="74">
        <f t="shared" si="23"/>
        <v>1219520.822888924</v>
      </c>
      <c r="BO33" s="22">
        <f t="shared" si="24"/>
        <v>882700.7860910307</v>
      </c>
      <c r="BQ33" s="12" t="str">
        <f>+'Input Data'!I36</f>
        <v>Implant_LoE</v>
      </c>
      <c r="BR33" s="30">
        <f t="shared" si="25"/>
        <v>11120.996618999796</v>
      </c>
      <c r="BS33" s="30">
        <f t="shared" si="26"/>
        <v>11405.87754174865</v>
      </c>
      <c r="BT33" s="30">
        <f t="shared" si="27"/>
        <v>11267.733344639857</v>
      </c>
      <c r="BU33" s="30">
        <f t="shared" si="28"/>
        <v>10723.859085006045</v>
      </c>
      <c r="BV33" s="74">
        <f t="shared" si="29"/>
        <v>1260000</v>
      </c>
      <c r="BW33" s="22">
        <f t="shared" si="30"/>
        <v>912000</v>
      </c>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row>
    <row r="34" spans="5:138" ht="12.75">
      <c r="E34" s="12" t="str">
        <f>+'Input Data'!I37</f>
        <v>Insp_PLY</v>
      </c>
      <c r="F34" s="211">
        <v>22.857686811494858</v>
      </c>
      <c r="G34" s="33">
        <f t="shared" si="2"/>
        <v>23</v>
      </c>
      <c r="H34" s="1">
        <f>+('Input Data'!K37+'Input Data'!L37+'Input Data'!M37)*F34/'Input Data'!O37</f>
        <v>18.514726317310835</v>
      </c>
      <c r="I34" s="20">
        <f>+'Input Data'!N37*F34</f>
        <v>4.80011423041392</v>
      </c>
      <c r="J34" s="30">
        <f>+('Input Data'!K37+'Input Data'!L37+'Input Data'!M37)*G34/'Input Data'!O37</f>
        <v>18.63</v>
      </c>
      <c r="K34" s="13">
        <f>+'Input Data'!N37*G34</f>
        <v>4.83</v>
      </c>
      <c r="N34" s="12" t="str">
        <f>+'Input Data'!I37</f>
        <v>Insp_PLY</v>
      </c>
      <c r="O34" s="147">
        <v>0.03958594515269375</v>
      </c>
      <c r="P34" s="356">
        <v>0.30161396914013566</v>
      </c>
      <c r="Q34" s="147">
        <v>0.04453402747767214</v>
      </c>
      <c r="R34" s="356">
        <v>0.29622683011335993</v>
      </c>
      <c r="S34" s="147">
        <v>0.04453402747767214</v>
      </c>
      <c r="T34" s="356">
        <v>0.29084109143465453</v>
      </c>
      <c r="U34" s="147">
        <v>0.04948339635551715</v>
      </c>
      <c r="V34" s="357">
        <v>0.25313952033564635</v>
      </c>
      <c r="W34" s="73"/>
      <c r="X34" s="12" t="str">
        <f>+'Input Data'!I37</f>
        <v>Insp_PLY</v>
      </c>
      <c r="Y34" s="36">
        <f t="shared" si="3"/>
        <v>0.9048431364372868</v>
      </c>
      <c r="Z34" s="7">
        <f t="shared" si="4"/>
        <v>6.894197644577096</v>
      </c>
      <c r="AA34" s="36">
        <f t="shared" si="5"/>
        <v>1.0179448525391361</v>
      </c>
      <c r="AB34" s="37">
        <f t="shared" si="6"/>
        <v>6.771060107893075</v>
      </c>
      <c r="AC34" s="7">
        <f t="shared" si="7"/>
        <v>1.0179448525391361</v>
      </c>
      <c r="AD34" s="7">
        <f t="shared" si="8"/>
        <v>6.647954579926673</v>
      </c>
      <c r="AE34" s="36">
        <f t="shared" si="9"/>
        <v>1.131075976263477</v>
      </c>
      <c r="AF34" s="13">
        <f t="shared" si="10"/>
        <v>5.786183875444238</v>
      </c>
      <c r="AH34" s="12" t="str">
        <f>+'Input Data'!I37</f>
        <v>Insp_PLY</v>
      </c>
      <c r="AI34" s="12">
        <f t="shared" si="11"/>
        <v>0.9104767385119563</v>
      </c>
      <c r="AJ34" s="7">
        <f t="shared" si="12"/>
        <v>6.9371212902231205</v>
      </c>
      <c r="AK34" s="36">
        <f t="shared" si="13"/>
        <v>1.0242826319864593</v>
      </c>
      <c r="AL34" s="37">
        <f t="shared" si="14"/>
        <v>6.813217092607278</v>
      </c>
      <c r="AM34" s="7">
        <f t="shared" si="15"/>
        <v>1.0242826319864593</v>
      </c>
      <c r="AN34" s="7">
        <f t="shared" si="16"/>
        <v>6.689345102997054</v>
      </c>
      <c r="AO34" s="36">
        <f t="shared" si="17"/>
        <v>1.1381181161768945</v>
      </c>
      <c r="AP34" s="13">
        <f t="shared" si="18"/>
        <v>5.822208967719866</v>
      </c>
      <c r="AT34" s="12" t="str">
        <f>+'Input Data'!I37</f>
        <v>Insp_PLY</v>
      </c>
      <c r="AU34" s="92">
        <f>+(O34+P34/2)*'Input Data'!$E$37</f>
        <v>28.558939458414237</v>
      </c>
      <c r="AV34" s="1">
        <f>+(Q34+R34/2)*'Input Data'!$E$37</f>
        <v>28.897116380152816</v>
      </c>
      <c r="AW34" s="88">
        <f>+(S34+T34/2)*'Input Data'!$E$37</f>
        <v>28.493185979249912</v>
      </c>
      <c r="AX34" s="22">
        <f>+(U34+V34/2)*'Input Data'!$E$37</f>
        <v>26.40797347850105</v>
      </c>
      <c r="BA34" s="12" t="str">
        <f>+'Input Data'!I37</f>
        <v>Insp_PLY</v>
      </c>
      <c r="BB34" s="30">
        <f>+('Input Data'!$C$37/'Input Data'!$B$37+'Input Data'!$D$37)*AU34</f>
        <v>1627.8595491296114</v>
      </c>
      <c r="BC34" s="30">
        <f>+('Input Data'!$C$37/'Input Data'!$B$37+'Input Data'!$D$37)*AV34</f>
        <v>1647.1356336687106</v>
      </c>
      <c r="BD34" s="30">
        <f>+('Input Data'!$C$37/'Input Data'!$B$37+'Input Data'!$D$37)*AW34</f>
        <v>1624.111600817245</v>
      </c>
      <c r="BE34" s="30">
        <f>+('Input Data'!$C$37/'Input Data'!$B$37+'Input Data'!$D$37)*AX34</f>
        <v>1505.2544882745597</v>
      </c>
      <c r="BF34" s="12">
        <f>+('Input Data'!$C$34/'Input Data'!$B$34+'Input Data'!$D$34)*'Input Data'!P37</f>
        <v>37800</v>
      </c>
      <c r="BG34" s="12">
        <f>+('Input Data'!$C$35/'Input Data'!$B$35+'Input Data'!$D$35)*'Input Data'!$Q37</f>
        <v>27360</v>
      </c>
      <c r="BI34" s="12" t="str">
        <f>+'Input Data'!I37</f>
        <v>Insp_PLY</v>
      </c>
      <c r="BJ34" s="30">
        <f t="shared" si="19"/>
        <v>37209.10374710589</v>
      </c>
      <c r="BK34" s="30">
        <f t="shared" si="20"/>
        <v>37649.71045045251</v>
      </c>
      <c r="BL34" s="30">
        <f t="shared" si="21"/>
        <v>37123.43431839615</v>
      </c>
      <c r="BM34" s="30">
        <f t="shared" si="22"/>
        <v>34406.63566457685</v>
      </c>
      <c r="BN34" s="74">
        <f t="shared" si="23"/>
        <v>864020.5614745057</v>
      </c>
      <c r="BO34" s="22">
        <f t="shared" si="24"/>
        <v>625386.3111624994</v>
      </c>
      <c r="BQ34" s="12" t="str">
        <f>+'Input Data'!I37</f>
        <v>Insp_PLY</v>
      </c>
      <c r="BR34" s="30">
        <f t="shared" si="25"/>
        <v>37440.76962998106</v>
      </c>
      <c r="BS34" s="30">
        <f t="shared" si="26"/>
        <v>37884.11957438035</v>
      </c>
      <c r="BT34" s="30">
        <f t="shared" si="27"/>
        <v>37354.56681879664</v>
      </c>
      <c r="BU34" s="30">
        <f t="shared" si="28"/>
        <v>34620.853230314875</v>
      </c>
      <c r="BV34" s="74">
        <f t="shared" si="29"/>
        <v>869400</v>
      </c>
      <c r="BW34" s="22">
        <f t="shared" si="30"/>
        <v>629280</v>
      </c>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row>
    <row r="35" spans="5:138" ht="12.75">
      <c r="E35" s="12" t="str">
        <f>+'Input Data'!I38</f>
        <v>Insp_Visual</v>
      </c>
      <c r="F35" s="211">
        <v>1.280708827505918</v>
      </c>
      <c r="G35" s="33">
        <f t="shared" si="2"/>
        <v>2</v>
      </c>
      <c r="H35" s="1">
        <f>+('Input Data'!K38+'Input Data'!L38+'Input Data'!M38)*F35/'Input Data'!O38</f>
        <v>0.1728956917132989</v>
      </c>
      <c r="I35" s="20">
        <f>+'Input Data'!N38*F35</f>
        <v>0.04482480896270713</v>
      </c>
      <c r="J35" s="30">
        <f>+('Input Data'!K38+'Input Data'!L38+'Input Data'!M38)*G35/'Input Data'!O38</f>
        <v>0.26999999999999996</v>
      </c>
      <c r="K35" s="13">
        <f>+'Input Data'!N38*G35</f>
        <v>0.07</v>
      </c>
      <c r="N35" s="12" t="str">
        <f>+'Input Data'!I38</f>
        <v>Insp_Visual</v>
      </c>
      <c r="O35" s="147">
        <v>0.03958594515269375</v>
      </c>
      <c r="P35" s="356">
        <v>0.6032279382802713</v>
      </c>
      <c r="Q35" s="147">
        <v>0.04453402747767214</v>
      </c>
      <c r="R35" s="356">
        <v>0.5924536602267199</v>
      </c>
      <c r="S35" s="147">
        <v>0.04453402747767214</v>
      </c>
      <c r="T35" s="356">
        <v>0.5816821828693091</v>
      </c>
      <c r="U35" s="147">
        <v>0.04948339635551715</v>
      </c>
      <c r="V35" s="357">
        <v>0.5062790406712927</v>
      </c>
      <c r="W35" s="73"/>
      <c r="X35" s="12" t="str">
        <f>+'Input Data'!I38</f>
        <v>Insp_Visual</v>
      </c>
      <c r="Y35" s="36">
        <f t="shared" si="3"/>
        <v>0.05069806940221999</v>
      </c>
      <c r="Z35" s="7">
        <f t="shared" si="4"/>
        <v>0.7725593455537385</v>
      </c>
      <c r="AA35" s="36">
        <f t="shared" si="5"/>
        <v>0.05703512211504582</v>
      </c>
      <c r="AB35" s="37">
        <f t="shared" si="6"/>
        <v>0.7587606325405519</v>
      </c>
      <c r="AC35" s="7">
        <f t="shared" si="7"/>
        <v>0.05703512211504582</v>
      </c>
      <c r="AD35" s="7">
        <f t="shared" si="8"/>
        <v>0.7449655064036358</v>
      </c>
      <c r="AE35" s="36">
        <f t="shared" si="9"/>
        <v>0.06337382252748498</v>
      </c>
      <c r="AF35" s="13">
        <f t="shared" si="10"/>
        <v>0.6483960365689523</v>
      </c>
      <c r="AH35" s="12" t="str">
        <f>+'Input Data'!I38</f>
        <v>Insp_Visual</v>
      </c>
      <c r="AI35" s="12">
        <f t="shared" si="11"/>
        <v>0.0791718903053875</v>
      </c>
      <c r="AJ35" s="7">
        <f t="shared" si="12"/>
        <v>1.2064558765605427</v>
      </c>
      <c r="AK35" s="36">
        <f t="shared" si="13"/>
        <v>0.08906805495534428</v>
      </c>
      <c r="AL35" s="37">
        <f t="shared" si="14"/>
        <v>1.1849073204534397</v>
      </c>
      <c r="AM35" s="7">
        <f t="shared" si="15"/>
        <v>0.08906805495534428</v>
      </c>
      <c r="AN35" s="7">
        <f t="shared" si="16"/>
        <v>1.1633643657386181</v>
      </c>
      <c r="AO35" s="36">
        <f t="shared" si="17"/>
        <v>0.0989667927110343</v>
      </c>
      <c r="AP35" s="13">
        <f t="shared" si="18"/>
        <v>1.0125580813425854</v>
      </c>
      <c r="AT35" s="12" t="str">
        <f>+'Input Data'!I38</f>
        <v>Insp_Visual</v>
      </c>
      <c r="AU35" s="92">
        <f>+(O35+P35/2)*'Input Data'!$E$37</f>
        <v>51.179987143924414</v>
      </c>
      <c r="AV35" s="1">
        <f>+(Q35+R35/2)*'Input Data'!$E$37</f>
        <v>51.11412863865481</v>
      </c>
      <c r="AW35" s="88">
        <f>+(S35+T35/2)*'Input Data'!$E$37</f>
        <v>50.306267836849</v>
      </c>
      <c r="AX35" s="22">
        <f>+(U35+V35/2)*'Input Data'!$E$37</f>
        <v>45.39343750367452</v>
      </c>
      <c r="BA35" s="12" t="str">
        <f>+'Input Data'!I38</f>
        <v>Insp_Visual</v>
      </c>
      <c r="BB35" s="30">
        <f>+('Input Data'!$C$37/'Input Data'!$B$37+'Input Data'!$D$37)*AU35</f>
        <v>2917.2592672036917</v>
      </c>
      <c r="BC35" s="30">
        <f>+('Input Data'!$C$37/'Input Data'!$B$37+'Input Data'!$D$37)*AV35</f>
        <v>2913.5053324033242</v>
      </c>
      <c r="BD35" s="30">
        <f>+('Input Data'!$C$37/'Input Data'!$B$37+'Input Data'!$D$37)*AW35</f>
        <v>2867.457266700393</v>
      </c>
      <c r="BE35" s="30">
        <f>+('Input Data'!$C$37/'Input Data'!$B$37+'Input Data'!$D$37)*AX35</f>
        <v>2587.4259377094477</v>
      </c>
      <c r="BF35" s="12">
        <f>+('Input Data'!$C$34/'Input Data'!$B$34+'Input Data'!$D$34)*'Input Data'!P38</f>
        <v>37800</v>
      </c>
      <c r="BG35" s="12">
        <f>+('Input Data'!$C$35/'Input Data'!$B$35+'Input Data'!$D$35)*'Input Data'!$Q38</f>
        <v>27360</v>
      </c>
      <c r="BI35" s="12" t="str">
        <f>+'Input Data'!I38</f>
        <v>Insp_Visual</v>
      </c>
      <c r="BJ35" s="30">
        <f t="shared" si="19"/>
        <v>3736.1596956312133</v>
      </c>
      <c r="BK35" s="30">
        <f t="shared" si="20"/>
        <v>3731.351998194501</v>
      </c>
      <c r="BL35" s="30">
        <f t="shared" si="21"/>
        <v>3672.377833959185</v>
      </c>
      <c r="BM35" s="30">
        <f t="shared" si="22"/>
        <v>3313.739238942267</v>
      </c>
      <c r="BN35" s="74">
        <f t="shared" si="23"/>
        <v>48410.7936797237</v>
      </c>
      <c r="BO35" s="22">
        <f t="shared" si="24"/>
        <v>35040.193520561916</v>
      </c>
      <c r="BQ35" s="12" t="str">
        <f>+'Input Data'!I38</f>
        <v>Insp_Visual</v>
      </c>
      <c r="BR35" s="30">
        <f t="shared" si="25"/>
        <v>5834.518534407383</v>
      </c>
      <c r="BS35" s="30">
        <f t="shared" si="26"/>
        <v>5827.0106648066485</v>
      </c>
      <c r="BT35" s="30">
        <f t="shared" si="27"/>
        <v>5734.914533400786</v>
      </c>
      <c r="BU35" s="30">
        <f t="shared" si="28"/>
        <v>5174.851875418895</v>
      </c>
      <c r="BV35" s="74">
        <f t="shared" si="29"/>
        <v>75600</v>
      </c>
      <c r="BW35" s="22">
        <f t="shared" si="30"/>
        <v>54720</v>
      </c>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row>
    <row r="36" spans="5:138" ht="12.75">
      <c r="E36" s="12" t="str">
        <f>+'Input Data'!I39</f>
        <v>Litho_248</v>
      </c>
      <c r="F36" s="211">
        <v>4.457758051655556</v>
      </c>
      <c r="G36" s="33">
        <f t="shared" si="2"/>
        <v>5</v>
      </c>
      <c r="H36" s="1">
        <f>+('Input Data'!K39+'Input Data'!L39+'Input Data'!M39)*F36/'Input Data'!O39</f>
        <v>10.832352065523002</v>
      </c>
      <c r="I36" s="20">
        <f>+'Input Data'!N39*F36</f>
        <v>2.8083875725430008</v>
      </c>
      <c r="J36" s="30">
        <f>+('Input Data'!K39+'Input Data'!L39+'Input Data'!M39)*G36/'Input Data'!O39</f>
        <v>12.15</v>
      </c>
      <c r="K36" s="13">
        <f>+'Input Data'!N39*G36</f>
        <v>3.15</v>
      </c>
      <c r="N36" s="12" t="str">
        <f>+'Input Data'!I39</f>
        <v>Litho_248</v>
      </c>
      <c r="O36" s="147">
        <v>0.03958594515269375</v>
      </c>
      <c r="P36" s="356">
        <v>0.30161396914013566</v>
      </c>
      <c r="Q36" s="147">
        <v>0.04453402747767214</v>
      </c>
      <c r="R36" s="356">
        <v>0.29622683011335993</v>
      </c>
      <c r="S36" s="147">
        <v>0.04453402747767214</v>
      </c>
      <c r="T36" s="356">
        <v>0.29084109143465453</v>
      </c>
      <c r="U36" s="147">
        <v>0.04948339635551715</v>
      </c>
      <c r="V36" s="357">
        <v>0.25313952033564635</v>
      </c>
      <c r="W36" s="73"/>
      <c r="X36" s="12" t="str">
        <f>+'Input Data'!I39</f>
        <v>Litho_248</v>
      </c>
      <c r="Y36" s="36">
        <f t="shared" si="3"/>
        <v>0.17646456573681582</v>
      </c>
      <c r="Z36" s="7">
        <f t="shared" si="4"/>
        <v>1.3445220994262304</v>
      </c>
      <c r="AA36" s="36">
        <f t="shared" si="5"/>
        <v>0.19852191956124277</v>
      </c>
      <c r="AB36" s="37">
        <f t="shared" si="6"/>
        <v>1.320507537054233</v>
      </c>
      <c r="AC36" s="7">
        <f t="shared" si="7"/>
        <v>0.19852191956124277</v>
      </c>
      <c r="AD36" s="7">
        <f t="shared" si="8"/>
        <v>1.296499217095121</v>
      </c>
      <c r="AE36" s="36">
        <f t="shared" si="9"/>
        <v>0.22058500852706978</v>
      </c>
      <c r="AF36" s="13">
        <f t="shared" si="10"/>
        <v>1.128434734968453</v>
      </c>
      <c r="AH36" s="12" t="str">
        <f>+'Input Data'!I39</f>
        <v>Litho_248</v>
      </c>
      <c r="AI36" s="12">
        <f t="shared" si="11"/>
        <v>0.19792972576346876</v>
      </c>
      <c r="AJ36" s="7">
        <f t="shared" si="12"/>
        <v>1.5080698457006783</v>
      </c>
      <c r="AK36" s="36">
        <f t="shared" si="13"/>
        <v>0.22267013738836072</v>
      </c>
      <c r="AL36" s="37">
        <f t="shared" si="14"/>
        <v>1.4811341505667996</v>
      </c>
      <c r="AM36" s="7">
        <f t="shared" si="15"/>
        <v>0.22267013738836072</v>
      </c>
      <c r="AN36" s="7">
        <f t="shared" si="16"/>
        <v>1.4542054571732725</v>
      </c>
      <c r="AO36" s="36">
        <f t="shared" si="17"/>
        <v>0.24741698177758575</v>
      </c>
      <c r="AP36" s="13">
        <f t="shared" si="18"/>
        <v>1.2656976016782318</v>
      </c>
      <c r="AT36" s="12" t="str">
        <f>+'Input Data'!I39</f>
        <v>Litho_248</v>
      </c>
      <c r="AU36" s="92">
        <f>+(O36+P36/2)*'Input Data'!$E$37</f>
        <v>28.558939458414237</v>
      </c>
      <c r="AV36" s="1">
        <f>+(Q36+R36/2)*'Input Data'!$E$37</f>
        <v>28.897116380152816</v>
      </c>
      <c r="AW36" s="88">
        <f>+(S36+T36/2)*'Input Data'!$E$37</f>
        <v>28.493185979249912</v>
      </c>
      <c r="AX36" s="22">
        <f>+(U36+V36/2)*'Input Data'!$E$37</f>
        <v>26.40797347850105</v>
      </c>
      <c r="BA36" s="12" t="str">
        <f>+'Input Data'!I39</f>
        <v>Litho_248</v>
      </c>
      <c r="BB36" s="30">
        <f>+('Input Data'!$C$37/'Input Data'!$B$37+'Input Data'!$D$37)*AU36</f>
        <v>1627.8595491296114</v>
      </c>
      <c r="BC36" s="30">
        <f>+('Input Data'!$C$37/'Input Data'!$B$37+'Input Data'!$D$37)*AV36</f>
        <v>1647.1356336687106</v>
      </c>
      <c r="BD36" s="30">
        <f>+('Input Data'!$C$37/'Input Data'!$B$37+'Input Data'!$D$37)*AW36</f>
        <v>1624.111600817245</v>
      </c>
      <c r="BE36" s="30">
        <f>+('Input Data'!$C$37/'Input Data'!$B$37+'Input Data'!$D$37)*AX36</f>
        <v>1505.2544882745597</v>
      </c>
      <c r="BF36" s="12">
        <f>+('Input Data'!$C$34/'Input Data'!$B$34+'Input Data'!$D$34)*'Input Data'!P39</f>
        <v>157500</v>
      </c>
      <c r="BG36" s="12">
        <f>+('Input Data'!$C$35/'Input Data'!$B$35+'Input Data'!$D$35)*'Input Data'!$Q39</f>
        <v>114000</v>
      </c>
      <c r="BI36" s="12" t="str">
        <f>+'Input Data'!I39</f>
        <v>Litho_248</v>
      </c>
      <c r="BJ36" s="30">
        <f t="shared" si="19"/>
        <v>7256.604012096909</v>
      </c>
      <c r="BK36" s="30">
        <f t="shared" si="20"/>
        <v>7342.5321331554715</v>
      </c>
      <c r="BL36" s="30">
        <f t="shared" si="21"/>
        <v>7239.896565330269</v>
      </c>
      <c r="BM36" s="30">
        <f t="shared" si="22"/>
        <v>6710.060314896583</v>
      </c>
      <c r="BN36" s="74">
        <f t="shared" si="23"/>
        <v>702096.8931357501</v>
      </c>
      <c r="BO36" s="22">
        <f t="shared" si="24"/>
        <v>508184.41788873344</v>
      </c>
      <c r="BQ36" s="12" t="str">
        <f>+'Input Data'!I39</f>
        <v>Litho_248</v>
      </c>
      <c r="BR36" s="30">
        <f t="shared" si="25"/>
        <v>8139.297745648057</v>
      </c>
      <c r="BS36" s="30">
        <f t="shared" si="26"/>
        <v>8235.678168343553</v>
      </c>
      <c r="BT36" s="30">
        <f t="shared" si="27"/>
        <v>8120.558004086225</v>
      </c>
      <c r="BU36" s="30">
        <f t="shared" si="28"/>
        <v>7526.272441372798</v>
      </c>
      <c r="BV36" s="74">
        <f t="shared" si="29"/>
        <v>787500</v>
      </c>
      <c r="BW36" s="22">
        <f t="shared" si="30"/>
        <v>570000</v>
      </c>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row>
    <row r="37" spans="5:138" ht="12.75">
      <c r="E37" s="12" t="str">
        <f>+'Input Data'!I40</f>
        <v>Litho_I</v>
      </c>
      <c r="F37" s="211">
        <v>11.156923242435665</v>
      </c>
      <c r="G37" s="33">
        <f t="shared" si="2"/>
        <v>12</v>
      </c>
      <c r="H37" s="1">
        <f>+('Input Data'!K40+'Input Data'!L40+'Input Data'!M40)*F37/'Input Data'!O40</f>
        <v>18.074215652745778</v>
      </c>
      <c r="I37" s="20">
        <f>+'Input Data'!N40*F37</f>
        <v>4.685907761822979</v>
      </c>
      <c r="J37" s="30">
        <f>+('Input Data'!K40+'Input Data'!L40+'Input Data'!M40)*G37/'Input Data'!O40</f>
        <v>19.439999999999998</v>
      </c>
      <c r="K37" s="13">
        <f>+'Input Data'!N40*G37</f>
        <v>5.04</v>
      </c>
      <c r="N37" s="12" t="str">
        <f>+'Input Data'!I40</f>
        <v>Litho_I</v>
      </c>
      <c r="O37" s="147">
        <v>0.03958594515269375</v>
      </c>
      <c r="P37" s="356">
        <v>0.30161396914013566</v>
      </c>
      <c r="Q37" s="147">
        <v>0.04453402747767214</v>
      </c>
      <c r="R37" s="356">
        <v>0.29622683011335993</v>
      </c>
      <c r="S37" s="147">
        <v>0.04453402747767214</v>
      </c>
      <c r="T37" s="356">
        <v>0.29084109143465453</v>
      </c>
      <c r="U37" s="147">
        <v>0.04948339635551715</v>
      </c>
      <c r="V37" s="357">
        <v>0.25313952033564635</v>
      </c>
      <c r="W37" s="73"/>
      <c r="X37" s="12" t="str">
        <f>+'Input Data'!I40</f>
        <v>Litho_I</v>
      </c>
      <c r="Y37" s="36">
        <f t="shared" si="3"/>
        <v>0.4416573515478724</v>
      </c>
      <c r="Z37" s="7">
        <f t="shared" si="4"/>
        <v>3.365083902542853</v>
      </c>
      <c r="AA37" s="36">
        <f t="shared" si="5"/>
        <v>0.4968627262449089</v>
      </c>
      <c r="AB37" s="37">
        <f t="shared" si="6"/>
        <v>3.3049800059247865</v>
      </c>
      <c r="AC37" s="7">
        <f t="shared" si="7"/>
        <v>0.4968627262449089</v>
      </c>
      <c r="AD37" s="7">
        <f t="shared" si="8"/>
        <v>3.2448917328826536</v>
      </c>
      <c r="AE37" s="36">
        <f t="shared" si="9"/>
        <v>0.5520824549135256</v>
      </c>
      <c r="AF37" s="13">
        <f t="shared" si="10"/>
        <v>2.8242581980117887</v>
      </c>
      <c r="AH37" s="12" t="str">
        <f>+'Input Data'!I40</f>
        <v>Litho_I</v>
      </c>
      <c r="AI37" s="12">
        <f t="shared" si="11"/>
        <v>0.475031341832325</v>
      </c>
      <c r="AJ37" s="7">
        <f t="shared" si="12"/>
        <v>3.619367629681628</v>
      </c>
      <c r="AK37" s="36">
        <f t="shared" si="13"/>
        <v>0.5344083297320656</v>
      </c>
      <c r="AL37" s="37">
        <f t="shared" si="14"/>
        <v>3.554721961360319</v>
      </c>
      <c r="AM37" s="7">
        <f t="shared" si="15"/>
        <v>0.5344083297320656</v>
      </c>
      <c r="AN37" s="7">
        <f t="shared" si="16"/>
        <v>3.4900930972158544</v>
      </c>
      <c r="AO37" s="36">
        <f t="shared" si="17"/>
        <v>0.5938007562662058</v>
      </c>
      <c r="AP37" s="13">
        <f t="shared" si="18"/>
        <v>3.037674244027756</v>
      </c>
      <c r="AT37" s="12" t="str">
        <f>+'Input Data'!I40</f>
        <v>Litho_I</v>
      </c>
      <c r="AU37" s="92">
        <f>+(O37+P37/2)*'Input Data'!$E$37</f>
        <v>28.558939458414237</v>
      </c>
      <c r="AV37" s="1">
        <f>+(Q37+R37/2)*'Input Data'!$E$37</f>
        <v>28.897116380152816</v>
      </c>
      <c r="AW37" s="88">
        <f>+(S37+T37/2)*'Input Data'!$E$37</f>
        <v>28.493185979249912</v>
      </c>
      <c r="AX37" s="22">
        <f>+(U37+V37/2)*'Input Data'!$E$37</f>
        <v>26.40797347850105</v>
      </c>
      <c r="BA37" s="12" t="str">
        <f>+'Input Data'!I40</f>
        <v>Litho_I</v>
      </c>
      <c r="BB37" s="30">
        <f>+('Input Data'!$C$37/'Input Data'!$B$37+'Input Data'!$D$37)*AU37</f>
        <v>1627.8595491296114</v>
      </c>
      <c r="BC37" s="30">
        <f>+('Input Data'!$C$37/'Input Data'!$B$37+'Input Data'!$D$37)*AV37</f>
        <v>1647.1356336687106</v>
      </c>
      <c r="BD37" s="30">
        <f>+('Input Data'!$C$37/'Input Data'!$B$37+'Input Data'!$D$37)*AW37</f>
        <v>1624.111600817245</v>
      </c>
      <c r="BE37" s="30">
        <f>+('Input Data'!$C$37/'Input Data'!$B$37+'Input Data'!$D$37)*AX37</f>
        <v>1505.2544882745597</v>
      </c>
      <c r="BF37" s="12">
        <f>+('Input Data'!$C$34/'Input Data'!$B$34+'Input Data'!$D$34)*'Input Data'!P40</f>
        <v>126000</v>
      </c>
      <c r="BG37" s="12">
        <f>+('Input Data'!$C$35/'Input Data'!$B$35+'Input Data'!$D$35)*'Input Data'!$Q40</f>
        <v>91200</v>
      </c>
      <c r="BI37" s="12" t="str">
        <f>+'Input Data'!I40</f>
        <v>Litho_I</v>
      </c>
      <c r="BJ37" s="30">
        <f t="shared" si="19"/>
        <v>18161.904039105004</v>
      </c>
      <c r="BK37" s="30">
        <f t="shared" si="20"/>
        <v>18376.965834722436</v>
      </c>
      <c r="BL37" s="30">
        <f t="shared" si="21"/>
        <v>18120.088467467318</v>
      </c>
      <c r="BM37" s="30">
        <f t="shared" si="22"/>
        <v>16794.00878601104</v>
      </c>
      <c r="BN37" s="74">
        <f t="shared" si="23"/>
        <v>1405772.3285468938</v>
      </c>
      <c r="BO37" s="22">
        <f t="shared" si="24"/>
        <v>1017511.3997101326</v>
      </c>
      <c r="BQ37" s="12" t="str">
        <f>+'Input Data'!I40</f>
        <v>Litho_I</v>
      </c>
      <c r="BR37" s="30">
        <f t="shared" si="25"/>
        <v>19534.31458955534</v>
      </c>
      <c r="BS37" s="30">
        <f t="shared" si="26"/>
        <v>19765.62760402453</v>
      </c>
      <c r="BT37" s="30">
        <f t="shared" si="27"/>
        <v>19489.33920980694</v>
      </c>
      <c r="BU37" s="30">
        <f t="shared" si="28"/>
        <v>18063.053859294716</v>
      </c>
      <c r="BV37" s="74">
        <f t="shared" si="29"/>
        <v>1512000</v>
      </c>
      <c r="BW37" s="22">
        <f t="shared" si="30"/>
        <v>1094400</v>
      </c>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row>
    <row r="38" spans="5:138" ht="12.75">
      <c r="E38" s="12" t="str">
        <f>+'Input Data'!I41</f>
        <v>Litho_Iw</v>
      </c>
      <c r="F38" s="211">
        <v>10.613450228621712</v>
      </c>
      <c r="G38" s="33">
        <f t="shared" si="2"/>
        <v>11</v>
      </c>
      <c r="H38" s="1">
        <f>+('Input Data'!K41+'Input Data'!L41+'Input Data'!M41)*F38/'Input Data'!O41</f>
        <v>14.328157808639313</v>
      </c>
      <c r="I38" s="20">
        <f>+'Input Data'!N41*F38</f>
        <v>3.714707580017599</v>
      </c>
      <c r="J38" s="30">
        <f>+('Input Data'!K41+'Input Data'!L41+'Input Data'!M41)*G38/'Input Data'!O41</f>
        <v>14.85</v>
      </c>
      <c r="K38" s="13">
        <f>+'Input Data'!N41*G38</f>
        <v>3.8499999999999996</v>
      </c>
      <c r="N38" s="12" t="str">
        <f>+'Input Data'!I41</f>
        <v>Litho_Iw</v>
      </c>
      <c r="O38" s="147">
        <v>0.03958594515269375</v>
      </c>
      <c r="P38" s="356">
        <v>0.30161396914013566</v>
      </c>
      <c r="Q38" s="147">
        <v>0.04453402747767214</v>
      </c>
      <c r="R38" s="356">
        <v>0.29622683011335993</v>
      </c>
      <c r="S38" s="147">
        <v>0.04453402747767214</v>
      </c>
      <c r="T38" s="356">
        <v>0.29084109143465453</v>
      </c>
      <c r="U38" s="147">
        <v>0.04948339635551715</v>
      </c>
      <c r="V38" s="357">
        <v>0.25313952033564635</v>
      </c>
      <c r="W38" s="73"/>
      <c r="X38" s="12" t="str">
        <f>+'Input Data'!I41</f>
        <v>Litho_Iw</v>
      </c>
      <c r="Y38" s="36">
        <f t="shared" si="3"/>
        <v>0.42014345863106406</v>
      </c>
      <c r="Z38" s="7">
        <f t="shared" si="4"/>
        <v>3.201164849725875</v>
      </c>
      <c r="AA38" s="36">
        <f t="shared" si="5"/>
        <v>0.472659684114345</v>
      </c>
      <c r="AB38" s="37">
        <f t="shared" si="6"/>
        <v>3.143988717790525</v>
      </c>
      <c r="AC38" s="7">
        <f t="shared" si="7"/>
        <v>0.472659684114345</v>
      </c>
      <c r="AD38" s="7">
        <f t="shared" si="8"/>
        <v>3.0868274483797222</v>
      </c>
      <c r="AE38" s="36">
        <f t="shared" si="9"/>
        <v>0.5251895643624422</v>
      </c>
      <c r="AF38" s="13">
        <f t="shared" si="10"/>
        <v>2.6866836999795565</v>
      </c>
      <c r="AH38" s="12" t="str">
        <f>+'Input Data'!I41</f>
        <v>Litho_Iw</v>
      </c>
      <c r="AI38" s="12">
        <f t="shared" si="11"/>
        <v>0.4354453966796313</v>
      </c>
      <c r="AJ38" s="7">
        <f t="shared" si="12"/>
        <v>3.3177536605414923</v>
      </c>
      <c r="AK38" s="36">
        <f t="shared" si="13"/>
        <v>0.48987430225439355</v>
      </c>
      <c r="AL38" s="37">
        <f t="shared" si="14"/>
        <v>3.258495131246959</v>
      </c>
      <c r="AM38" s="7">
        <f t="shared" si="15"/>
        <v>0.48987430225439355</v>
      </c>
      <c r="AN38" s="7">
        <f t="shared" si="16"/>
        <v>3.1992520057812</v>
      </c>
      <c r="AO38" s="36">
        <f t="shared" si="17"/>
        <v>0.5443173599106886</v>
      </c>
      <c r="AP38" s="13">
        <f t="shared" si="18"/>
        <v>2.7845347236921096</v>
      </c>
      <c r="AT38" s="12" t="str">
        <f>+'Input Data'!I41</f>
        <v>Litho_Iw</v>
      </c>
      <c r="AU38" s="92">
        <f>+(O38+P38/2)*'Input Data'!$E$37</f>
        <v>28.558939458414237</v>
      </c>
      <c r="AV38" s="1">
        <f>+(Q38+R38/2)*'Input Data'!$E$37</f>
        <v>28.897116380152816</v>
      </c>
      <c r="AW38" s="88">
        <f>+(S38+T38/2)*'Input Data'!$E$37</f>
        <v>28.493185979249912</v>
      </c>
      <c r="AX38" s="22">
        <f>+(U38+V38/2)*'Input Data'!$E$37</f>
        <v>26.40797347850105</v>
      </c>
      <c r="BA38" s="12" t="str">
        <f>+'Input Data'!I41</f>
        <v>Litho_Iw</v>
      </c>
      <c r="BB38" s="30">
        <f>+('Input Data'!$C$37/'Input Data'!$B$37+'Input Data'!$D$37)*AU38</f>
        <v>1627.8595491296114</v>
      </c>
      <c r="BC38" s="30">
        <f>+('Input Data'!$C$37/'Input Data'!$B$37+'Input Data'!$D$37)*AV38</f>
        <v>1647.1356336687106</v>
      </c>
      <c r="BD38" s="30">
        <f>+('Input Data'!$C$37/'Input Data'!$B$37+'Input Data'!$D$37)*AW38</f>
        <v>1624.111600817245</v>
      </c>
      <c r="BE38" s="30">
        <f>+('Input Data'!$C$37/'Input Data'!$B$37+'Input Data'!$D$37)*AX38</f>
        <v>1505.2544882745597</v>
      </c>
      <c r="BF38" s="12">
        <f>+('Input Data'!$C$34/'Input Data'!$B$34+'Input Data'!$D$34)*'Input Data'!P41</f>
        <v>126000</v>
      </c>
      <c r="BG38" s="12">
        <f>+('Input Data'!$C$35/'Input Data'!$B$35+'Input Data'!$D$35)*'Input Data'!$Q41</f>
        <v>91200</v>
      </c>
      <c r="BI38" s="12" t="str">
        <f>+'Input Data'!I41</f>
        <v>Litho_Iw</v>
      </c>
      <c r="BJ38" s="30">
        <f t="shared" si="19"/>
        <v>17277.20630387371</v>
      </c>
      <c r="BK38" s="30">
        <f t="shared" si="20"/>
        <v>17481.792067732145</v>
      </c>
      <c r="BL38" s="30">
        <f t="shared" si="21"/>
        <v>17237.427641000966</v>
      </c>
      <c r="BM38" s="30">
        <f t="shared" si="22"/>
        <v>15975.943592711483</v>
      </c>
      <c r="BN38" s="74">
        <f t="shared" si="23"/>
        <v>1337294.7288063357</v>
      </c>
      <c r="BO38" s="22">
        <f t="shared" si="24"/>
        <v>967946.6608503001</v>
      </c>
      <c r="BQ38" s="12" t="str">
        <f>+'Input Data'!I41</f>
        <v>Litho_Iw</v>
      </c>
      <c r="BR38" s="30">
        <f t="shared" si="25"/>
        <v>17906.455040425724</v>
      </c>
      <c r="BS38" s="30">
        <f t="shared" si="26"/>
        <v>18118.491970355815</v>
      </c>
      <c r="BT38" s="30">
        <f t="shared" si="27"/>
        <v>17865.227608989695</v>
      </c>
      <c r="BU38" s="30">
        <f t="shared" si="28"/>
        <v>16557.799371020155</v>
      </c>
      <c r="BV38" s="74">
        <f t="shared" si="29"/>
        <v>1386000</v>
      </c>
      <c r="BW38" s="22">
        <f t="shared" si="30"/>
        <v>1003200</v>
      </c>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row>
    <row r="39" spans="5:138" ht="12.75">
      <c r="E39" s="12" t="str">
        <f>+'Input Data'!I42</f>
        <v>Meas_CD</v>
      </c>
      <c r="F39" s="211">
        <v>14.611860796447946</v>
      </c>
      <c r="G39" s="33">
        <f t="shared" si="2"/>
        <v>15</v>
      </c>
      <c r="H39" s="1">
        <f>+('Input Data'!K42+'Input Data'!L42+'Input Data'!M42)*F39/'Input Data'!O42</f>
        <v>5.917803622561418</v>
      </c>
      <c r="I39" s="20">
        <f>+'Input Data'!N42*F39</f>
        <v>1.5342453836270342</v>
      </c>
      <c r="J39" s="30">
        <f>+('Input Data'!K42+'Input Data'!L42+'Input Data'!M42)*G39/'Input Data'!O42</f>
        <v>6.075</v>
      </c>
      <c r="K39" s="13">
        <f>+'Input Data'!N42*G39</f>
        <v>1.575</v>
      </c>
      <c r="N39" s="12" t="str">
        <f>+'Input Data'!I42</f>
        <v>Meas_CD</v>
      </c>
      <c r="O39" s="147">
        <v>0.03958594515269375</v>
      </c>
      <c r="P39" s="356">
        <v>0.1809683814840814</v>
      </c>
      <c r="Q39" s="147">
        <v>0.04453402747767214</v>
      </c>
      <c r="R39" s="356">
        <v>0.17773609806801596</v>
      </c>
      <c r="S39" s="147">
        <v>0.04453402747767214</v>
      </c>
      <c r="T39" s="356">
        <v>0.17450465486079272</v>
      </c>
      <c r="U39" s="147">
        <v>0.04948339635551715</v>
      </c>
      <c r="V39" s="357">
        <v>0.15188371220138783</v>
      </c>
      <c r="W39" s="73"/>
      <c r="X39" s="12" t="str">
        <f>+'Input Data'!I42</f>
        <v>Meas_CD</v>
      </c>
      <c r="Y39" s="36">
        <f t="shared" si="3"/>
        <v>0.5784243200669844</v>
      </c>
      <c r="Z39" s="7">
        <f t="shared" si="4"/>
        <v>2.644284798803885</v>
      </c>
      <c r="AA39" s="36">
        <f t="shared" si="5"/>
        <v>0.6507250102089331</v>
      </c>
      <c r="AB39" s="37">
        <f t="shared" si="6"/>
        <v>2.59705512347367</v>
      </c>
      <c r="AC39" s="7">
        <f t="shared" si="7"/>
        <v>0.6507250102089331</v>
      </c>
      <c r="AD39" s="7">
        <f t="shared" si="8"/>
        <v>2.549837725158097</v>
      </c>
      <c r="AE39" s="36">
        <f t="shared" si="9"/>
        <v>0.7230444992822762</v>
      </c>
      <c r="AF39" s="13">
        <f t="shared" si="10"/>
        <v>2.2193036599344413</v>
      </c>
      <c r="AH39" s="12" t="str">
        <f>+'Input Data'!I42</f>
        <v>Meas_CD</v>
      </c>
      <c r="AI39" s="12">
        <f t="shared" si="11"/>
        <v>0.5937891772904063</v>
      </c>
      <c r="AJ39" s="7">
        <f t="shared" si="12"/>
        <v>2.714525722261221</v>
      </c>
      <c r="AK39" s="36">
        <f t="shared" si="13"/>
        <v>0.6680104121650822</v>
      </c>
      <c r="AL39" s="37">
        <f t="shared" si="14"/>
        <v>2.6660414710202396</v>
      </c>
      <c r="AM39" s="7">
        <f t="shared" si="15"/>
        <v>0.6680104121650822</v>
      </c>
      <c r="AN39" s="7">
        <f t="shared" si="16"/>
        <v>2.6175698229118907</v>
      </c>
      <c r="AO39" s="36">
        <f t="shared" si="17"/>
        <v>0.7422509453327573</v>
      </c>
      <c r="AP39" s="13">
        <f t="shared" si="18"/>
        <v>2.2782556830208174</v>
      </c>
      <c r="AT39" s="12" t="str">
        <f>+'Input Data'!I42</f>
        <v>Meas_CD</v>
      </c>
      <c r="AU39" s="92">
        <f>+(O39+P39/2)*'Input Data'!$E$37</f>
        <v>19.510520384210167</v>
      </c>
      <c r="AV39" s="1">
        <f>+(Q39+R39/2)*'Input Data'!$E$37</f>
        <v>20.01031147675202</v>
      </c>
      <c r="AW39" s="88">
        <f>+(S39+T39/2)*'Input Data'!$E$37</f>
        <v>19.767953236210275</v>
      </c>
      <c r="AX39" s="22">
        <f>+(U39+V39/2)*'Input Data'!$E$37</f>
        <v>18.813787868431657</v>
      </c>
      <c r="BA39" s="12" t="str">
        <f>+'Input Data'!I42</f>
        <v>Meas_CD</v>
      </c>
      <c r="BB39" s="30">
        <f>+('Input Data'!$C$37/'Input Data'!$B$37+'Input Data'!$D$37)*AU39</f>
        <v>1112.0996618999795</v>
      </c>
      <c r="BC39" s="30">
        <f>+('Input Data'!$C$37/'Input Data'!$B$37+'Input Data'!$D$37)*AV39</f>
        <v>1140.587754174865</v>
      </c>
      <c r="BD39" s="30">
        <f>+('Input Data'!$C$37/'Input Data'!$B$37+'Input Data'!$D$37)*AW39</f>
        <v>1126.7733344639857</v>
      </c>
      <c r="BE39" s="30">
        <f>+('Input Data'!$C$37/'Input Data'!$B$37+'Input Data'!$D$37)*AX39</f>
        <v>1072.3859085006045</v>
      </c>
      <c r="BF39" s="12">
        <f>+('Input Data'!$C$34/'Input Data'!$B$34+'Input Data'!$D$34)*'Input Data'!P42</f>
        <v>37800</v>
      </c>
      <c r="BG39" s="12">
        <f>+('Input Data'!$C$35/'Input Data'!$B$35+'Input Data'!$D$35)*'Input Data'!$Q42</f>
        <v>27360</v>
      </c>
      <c r="BI39" s="12" t="str">
        <f>+'Input Data'!I42</f>
        <v>Meas_CD</v>
      </c>
      <c r="BJ39" s="30">
        <f t="shared" si="19"/>
        <v>16249.845451459327</v>
      </c>
      <c r="BK39" s="30">
        <f t="shared" si="20"/>
        <v>16666.109490136318</v>
      </c>
      <c r="BL39" s="30">
        <f t="shared" si="21"/>
        <v>16464.255112337243</v>
      </c>
      <c r="BM39" s="30">
        <f t="shared" si="22"/>
        <v>15669.553615083198</v>
      </c>
      <c r="BN39" s="74">
        <f t="shared" si="23"/>
        <v>552328.3381057323</v>
      </c>
      <c r="BO39" s="22">
        <f t="shared" si="24"/>
        <v>399780.5113908158</v>
      </c>
      <c r="BQ39" s="12" t="str">
        <f>+'Input Data'!I42</f>
        <v>Meas_CD</v>
      </c>
      <c r="BR39" s="30">
        <f t="shared" si="25"/>
        <v>16681.494928499695</v>
      </c>
      <c r="BS39" s="30">
        <f t="shared" si="26"/>
        <v>17108.816312622977</v>
      </c>
      <c r="BT39" s="30">
        <f t="shared" si="27"/>
        <v>16901.600016959786</v>
      </c>
      <c r="BU39" s="30">
        <f t="shared" si="28"/>
        <v>16085.788627509068</v>
      </c>
      <c r="BV39" s="74">
        <f t="shared" si="29"/>
        <v>567000</v>
      </c>
      <c r="BW39" s="22">
        <f t="shared" si="30"/>
        <v>410400</v>
      </c>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row>
    <row r="40" spans="5:138" ht="12.75">
      <c r="E40" s="12" t="str">
        <f>+'Input Data'!I43</f>
        <v>Meas_Film</v>
      </c>
      <c r="F40" s="211">
        <v>11.129313035203756</v>
      </c>
      <c r="G40" s="33">
        <f t="shared" si="2"/>
        <v>12</v>
      </c>
      <c r="H40" s="1">
        <f>+('Input Data'!K43+'Input Data'!L43+'Input Data'!M43)*F40/'Input Data'!O43</f>
        <v>2.10344016365351</v>
      </c>
      <c r="I40" s="20">
        <f>+'Input Data'!N43*F40</f>
        <v>0.5453363387249841</v>
      </c>
      <c r="J40" s="30">
        <f>+('Input Data'!K43+'Input Data'!L43+'Input Data'!M43)*G40/'Input Data'!O43</f>
        <v>2.268</v>
      </c>
      <c r="K40" s="13">
        <f>+'Input Data'!N43*G40</f>
        <v>0.5880000000000001</v>
      </c>
      <c r="N40" s="12" t="str">
        <f>+'Input Data'!I43</f>
        <v>Meas_Film</v>
      </c>
      <c r="O40" s="147">
        <v>0.03958594515269375</v>
      </c>
      <c r="P40" s="356">
        <v>0.1809683814840814</v>
      </c>
      <c r="Q40" s="147">
        <v>0.04453402747767214</v>
      </c>
      <c r="R40" s="356">
        <v>0.17773609806801596</v>
      </c>
      <c r="S40" s="147">
        <v>0.04453402747767214</v>
      </c>
      <c r="T40" s="356">
        <v>0.17450465486079272</v>
      </c>
      <c r="U40" s="147">
        <v>0.04948339635551715</v>
      </c>
      <c r="V40" s="357">
        <v>0.15188371220138783</v>
      </c>
      <c r="W40" s="73"/>
      <c r="X40" s="12" t="str">
        <f>+'Input Data'!I43</f>
        <v>Meas_Film</v>
      </c>
      <c r="Y40" s="36">
        <f t="shared" si="3"/>
        <v>0.4405643753987355</v>
      </c>
      <c r="Z40" s="7">
        <f t="shared" si="4"/>
        <v>2.014053767010513</v>
      </c>
      <c r="AA40" s="36">
        <f t="shared" si="5"/>
        <v>0.49563313251737884</v>
      </c>
      <c r="AB40" s="37">
        <f t="shared" si="6"/>
        <v>1.9780806730546232</v>
      </c>
      <c r="AC40" s="7">
        <f t="shared" si="7"/>
        <v>0.49563313251737884</v>
      </c>
      <c r="AD40" s="7">
        <f t="shared" si="8"/>
        <v>1.9421169300459529</v>
      </c>
      <c r="AE40" s="36">
        <f t="shared" si="9"/>
        <v>0.5507162080856111</v>
      </c>
      <c r="AF40" s="13">
        <f t="shared" si="10"/>
        <v>1.6903613780380413</v>
      </c>
      <c r="AH40" s="12" t="str">
        <f>+'Input Data'!I43</f>
        <v>Meas_Film</v>
      </c>
      <c r="AI40" s="12">
        <f t="shared" si="11"/>
        <v>0.475031341832325</v>
      </c>
      <c r="AJ40" s="7">
        <f t="shared" si="12"/>
        <v>2.1716205778089765</v>
      </c>
      <c r="AK40" s="36">
        <f t="shared" si="13"/>
        <v>0.5344083297320656</v>
      </c>
      <c r="AL40" s="37">
        <f t="shared" si="14"/>
        <v>2.1328331768161917</v>
      </c>
      <c r="AM40" s="7">
        <f t="shared" si="15"/>
        <v>0.5344083297320656</v>
      </c>
      <c r="AN40" s="7">
        <f t="shared" si="16"/>
        <v>2.094055858329513</v>
      </c>
      <c r="AO40" s="36">
        <f t="shared" si="17"/>
        <v>0.5938007562662058</v>
      </c>
      <c r="AP40" s="13">
        <f t="shared" si="18"/>
        <v>1.8226045464166538</v>
      </c>
      <c r="AT40" s="12" t="str">
        <f>+'Input Data'!I43</f>
        <v>Meas_Film</v>
      </c>
      <c r="AU40" s="92">
        <f>+(O40+P40/2)*'Input Data'!$E$37</f>
        <v>19.510520384210167</v>
      </c>
      <c r="AV40" s="1">
        <f>+(Q40+R40/2)*'Input Data'!$E$37</f>
        <v>20.01031147675202</v>
      </c>
      <c r="AW40" s="88">
        <f>+(S40+T40/2)*'Input Data'!$E$37</f>
        <v>19.767953236210275</v>
      </c>
      <c r="AX40" s="22">
        <f>+(U40+V40/2)*'Input Data'!$E$37</f>
        <v>18.813787868431657</v>
      </c>
      <c r="BA40" s="12" t="str">
        <f>+'Input Data'!I43</f>
        <v>Meas_Film</v>
      </c>
      <c r="BB40" s="30">
        <f>+('Input Data'!$C$37/'Input Data'!$B$37+'Input Data'!$D$37)*AU40</f>
        <v>1112.0996618999795</v>
      </c>
      <c r="BC40" s="30">
        <f>+('Input Data'!$C$37/'Input Data'!$B$37+'Input Data'!$D$37)*AV40</f>
        <v>1140.587754174865</v>
      </c>
      <c r="BD40" s="30">
        <f>+('Input Data'!$C$37/'Input Data'!$B$37+'Input Data'!$D$37)*AW40</f>
        <v>1126.7733344639857</v>
      </c>
      <c r="BE40" s="30">
        <f>+('Input Data'!$C$37/'Input Data'!$B$37+'Input Data'!$D$37)*AX40</f>
        <v>1072.3859085006045</v>
      </c>
      <c r="BF40" s="12">
        <f>+('Input Data'!$C$34/'Input Data'!$B$34+'Input Data'!$D$34)*'Input Data'!P43</f>
        <v>37800</v>
      </c>
      <c r="BG40" s="12">
        <f>+('Input Data'!$C$35/'Input Data'!$B$35+'Input Data'!$D$35)*'Input Data'!$Q43</f>
        <v>27360</v>
      </c>
      <c r="BI40" s="12" t="str">
        <f>+'Input Data'!I43</f>
        <v>Meas_Film</v>
      </c>
      <c r="BJ40" s="30">
        <f t="shared" si="19"/>
        <v>12376.905263629133</v>
      </c>
      <c r="BK40" s="30">
        <f t="shared" si="20"/>
        <v>12693.958160332102</v>
      </c>
      <c r="BL40" s="30">
        <f t="shared" si="21"/>
        <v>12540.213158970038</v>
      </c>
      <c r="BM40" s="30">
        <f t="shared" si="22"/>
        <v>11934.9184702446</v>
      </c>
      <c r="BN40" s="74">
        <f t="shared" si="23"/>
        <v>420688.03273070196</v>
      </c>
      <c r="BO40" s="22">
        <f t="shared" si="24"/>
        <v>304498.00464317476</v>
      </c>
      <c r="BQ40" s="12" t="str">
        <f>+'Input Data'!I43</f>
        <v>Meas_Film</v>
      </c>
      <c r="BR40" s="30">
        <f t="shared" si="25"/>
        <v>13345.195942799754</v>
      </c>
      <c r="BS40" s="30">
        <f t="shared" si="26"/>
        <v>13687.05305009838</v>
      </c>
      <c r="BT40" s="30">
        <f t="shared" si="27"/>
        <v>13521.28001356783</v>
      </c>
      <c r="BU40" s="30">
        <f t="shared" si="28"/>
        <v>12868.630902007255</v>
      </c>
      <c r="BV40" s="74">
        <f t="shared" si="29"/>
        <v>453600</v>
      </c>
      <c r="BW40" s="22">
        <f t="shared" si="30"/>
        <v>328320</v>
      </c>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row>
    <row r="41" spans="5:138" ht="12.75">
      <c r="E41" s="12" t="str">
        <f>+'Input Data'!I44</f>
        <v>Meas_Overlay</v>
      </c>
      <c r="F41" s="211">
        <v>11.0692402729959</v>
      </c>
      <c r="G41" s="33">
        <f t="shared" si="2"/>
        <v>12</v>
      </c>
      <c r="H41" s="1">
        <f>+('Input Data'!K44+'Input Data'!L44+'Input Data'!M44)*F41/'Input Data'!O44</f>
        <v>2.988694873708893</v>
      </c>
      <c r="I41" s="20">
        <f>+'Input Data'!N44*F41</f>
        <v>0.7748468191097131</v>
      </c>
      <c r="J41" s="30">
        <f>+('Input Data'!K44+'Input Data'!L44+'Input Data'!M44)*G41/'Input Data'!O44</f>
        <v>3.2399999999999998</v>
      </c>
      <c r="K41" s="13">
        <f>+'Input Data'!N44*G41</f>
        <v>0.8400000000000001</v>
      </c>
      <c r="N41" s="12" t="str">
        <f>+'Input Data'!I44</f>
        <v>Meas_Overlay</v>
      </c>
      <c r="O41" s="147">
        <v>0.03958594515269375</v>
      </c>
      <c r="P41" s="356">
        <v>0.1809683814840814</v>
      </c>
      <c r="Q41" s="147">
        <v>0.04453402747767214</v>
      </c>
      <c r="R41" s="356">
        <v>0.17773609806801596</v>
      </c>
      <c r="S41" s="147">
        <v>0.04453402747767214</v>
      </c>
      <c r="T41" s="356">
        <v>0.17450465486079272</v>
      </c>
      <c r="U41" s="147">
        <v>0.04948339635551715</v>
      </c>
      <c r="V41" s="357">
        <v>0.15188371220138783</v>
      </c>
      <c r="W41" s="73"/>
      <c r="X41" s="12" t="str">
        <f>+'Input Data'!I44</f>
        <v>Meas_Overlay</v>
      </c>
      <c r="Y41" s="36">
        <f t="shared" si="3"/>
        <v>0.4381863383288045</v>
      </c>
      <c r="Z41" s="7">
        <f t="shared" si="4"/>
        <v>2.0031824964624794</v>
      </c>
      <c r="AA41" s="36">
        <f t="shared" si="5"/>
        <v>0.4929578504745545</v>
      </c>
      <c r="AB41" s="37">
        <f t="shared" si="6"/>
        <v>1.9674035746996312</v>
      </c>
      <c r="AC41" s="7">
        <f t="shared" si="7"/>
        <v>0.4929578504745545</v>
      </c>
      <c r="AD41" s="7">
        <f t="shared" si="8"/>
        <v>1.9316339534103366</v>
      </c>
      <c r="AE41" s="36">
        <f t="shared" si="9"/>
        <v>0.5477436037831089</v>
      </c>
      <c r="AF41" s="13">
        <f t="shared" si="10"/>
        <v>1.681237303911721</v>
      </c>
      <c r="AH41" s="12" t="str">
        <f>+'Input Data'!I44</f>
        <v>Meas_Overlay</v>
      </c>
      <c r="AI41" s="12">
        <f t="shared" si="11"/>
        <v>0.475031341832325</v>
      </c>
      <c r="AJ41" s="7">
        <f t="shared" si="12"/>
        <v>2.1716205778089765</v>
      </c>
      <c r="AK41" s="36">
        <f t="shared" si="13"/>
        <v>0.5344083297320656</v>
      </c>
      <c r="AL41" s="37">
        <f t="shared" si="14"/>
        <v>2.1328331768161917</v>
      </c>
      <c r="AM41" s="7">
        <f t="shared" si="15"/>
        <v>0.5344083297320656</v>
      </c>
      <c r="AN41" s="7">
        <f t="shared" si="16"/>
        <v>2.094055858329513</v>
      </c>
      <c r="AO41" s="36">
        <f t="shared" si="17"/>
        <v>0.5938007562662058</v>
      </c>
      <c r="AP41" s="13">
        <f t="shared" si="18"/>
        <v>1.8226045464166538</v>
      </c>
      <c r="AT41" s="12" t="str">
        <f>+'Input Data'!I44</f>
        <v>Meas_Overlay</v>
      </c>
      <c r="AU41" s="92">
        <f>+(O41+P41/2)*'Input Data'!$E$37</f>
        <v>19.510520384210167</v>
      </c>
      <c r="AV41" s="1">
        <f>+(Q41+R41/2)*'Input Data'!$E$37</f>
        <v>20.01031147675202</v>
      </c>
      <c r="AW41" s="88">
        <f>+(S41+T41/2)*'Input Data'!$E$37</f>
        <v>19.767953236210275</v>
      </c>
      <c r="AX41" s="22">
        <f>+(U41+V41/2)*'Input Data'!$E$37</f>
        <v>18.813787868431657</v>
      </c>
      <c r="BA41" s="12" t="str">
        <f>+'Input Data'!I44</f>
        <v>Meas_Overlay</v>
      </c>
      <c r="BB41" s="30">
        <f>+('Input Data'!$C$37/'Input Data'!$B$37+'Input Data'!$D$37)*AU41</f>
        <v>1112.0996618999795</v>
      </c>
      <c r="BC41" s="30">
        <f>+('Input Data'!$C$37/'Input Data'!$B$37+'Input Data'!$D$37)*AV41</f>
        <v>1140.587754174865</v>
      </c>
      <c r="BD41" s="30">
        <f>+('Input Data'!$C$37/'Input Data'!$B$37+'Input Data'!$D$37)*AW41</f>
        <v>1126.7733344639857</v>
      </c>
      <c r="BE41" s="30">
        <f>+('Input Data'!$C$37/'Input Data'!$B$37+'Input Data'!$D$37)*AX41</f>
        <v>1072.3859085006045</v>
      </c>
      <c r="BF41" s="12">
        <f>+('Input Data'!$C$34/'Input Data'!$B$34+'Input Data'!$D$34)*'Input Data'!P44</f>
        <v>37800</v>
      </c>
      <c r="BG41" s="12">
        <f>+('Input Data'!$C$35/'Input Data'!$B$35+'Input Data'!$D$35)*'Input Data'!$Q44</f>
        <v>27360</v>
      </c>
      <c r="BI41" s="12" t="str">
        <f>+'Input Data'!I44</f>
        <v>Meas_Overlay</v>
      </c>
      <c r="BJ41" s="30">
        <f t="shared" si="19"/>
        <v>12310.098365088377</v>
      </c>
      <c r="BK41" s="30">
        <f t="shared" si="20"/>
        <v>12625.439903398365</v>
      </c>
      <c r="BL41" s="30">
        <f t="shared" si="21"/>
        <v>12472.52477238663</v>
      </c>
      <c r="BM41" s="30">
        <f t="shared" si="22"/>
        <v>11870.497286568188</v>
      </c>
      <c r="BN41" s="74">
        <f t="shared" si="23"/>
        <v>418417.28231924505</v>
      </c>
      <c r="BO41" s="22">
        <f t="shared" si="24"/>
        <v>302854.41386916785</v>
      </c>
      <c r="BQ41" s="12" t="str">
        <f>+'Input Data'!I44</f>
        <v>Meas_Overlay</v>
      </c>
      <c r="BR41" s="30">
        <f t="shared" si="25"/>
        <v>13345.195942799754</v>
      </c>
      <c r="BS41" s="30">
        <f t="shared" si="26"/>
        <v>13687.05305009838</v>
      </c>
      <c r="BT41" s="30">
        <f t="shared" si="27"/>
        <v>13521.28001356783</v>
      </c>
      <c r="BU41" s="30">
        <f t="shared" si="28"/>
        <v>12868.630902007255</v>
      </c>
      <c r="BV41" s="74">
        <f t="shared" si="29"/>
        <v>453600</v>
      </c>
      <c r="BW41" s="22">
        <f t="shared" si="30"/>
        <v>328320</v>
      </c>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row>
    <row r="42" spans="5:138" ht="12.75">
      <c r="E42" s="12" t="str">
        <f>+'Input Data'!I45</f>
        <v>PVD_Met</v>
      </c>
      <c r="F42" s="211">
        <v>1.131960884049695</v>
      </c>
      <c r="G42" s="33">
        <f t="shared" si="2"/>
        <v>2</v>
      </c>
      <c r="H42" s="1">
        <f>+('Input Data'!K45+'Input Data'!L45+'Input Data'!M45)*F42/'Input Data'!O45</f>
        <v>1.2225177547736705</v>
      </c>
      <c r="I42" s="20">
        <f>+'Input Data'!N45*F42</f>
        <v>0.3169490475339147</v>
      </c>
      <c r="J42" s="30">
        <f>+('Input Data'!K45+'Input Data'!L45+'Input Data'!M45)*G42/'Input Data'!O45</f>
        <v>2.1599999999999997</v>
      </c>
      <c r="K42" s="13">
        <f>+'Input Data'!N45*G42</f>
        <v>0.56</v>
      </c>
      <c r="N42" s="12" t="str">
        <f>+'Input Data'!I45</f>
        <v>PVD_Met</v>
      </c>
      <c r="O42" s="147">
        <v>0.019792972576346875</v>
      </c>
      <c r="P42" s="356">
        <v>0.30161396914013566</v>
      </c>
      <c r="Q42" s="147">
        <v>0.02226701373883607</v>
      </c>
      <c r="R42" s="356">
        <v>0.29622683011335993</v>
      </c>
      <c r="S42" s="147">
        <v>0.02226701373883607</v>
      </c>
      <c r="T42" s="356">
        <v>0.29084109143465453</v>
      </c>
      <c r="U42" s="147">
        <v>0.024741698177758575</v>
      </c>
      <c r="V42" s="357">
        <v>0.25313952033564635</v>
      </c>
      <c r="W42" s="73"/>
      <c r="X42" s="12" t="str">
        <f>+'Input Data'!I45</f>
        <v>PVD_Met</v>
      </c>
      <c r="Y42" s="36">
        <f t="shared" si="3"/>
        <v>0.02240487073549298</v>
      </c>
      <c r="Z42" s="7">
        <f t="shared" si="4"/>
        <v>0.34141521514960543</v>
      </c>
      <c r="AA42" s="36">
        <f t="shared" si="5"/>
        <v>0.025205388556959585</v>
      </c>
      <c r="AB42" s="37">
        <f t="shared" si="6"/>
        <v>0.33531718449435777</v>
      </c>
      <c r="AC42" s="7">
        <f t="shared" si="7"/>
        <v>0.025205388556959585</v>
      </c>
      <c r="AD42" s="7">
        <f t="shared" si="8"/>
        <v>0.32922073897834975</v>
      </c>
      <c r="AE42" s="36">
        <f t="shared" si="9"/>
        <v>0.028006634542186326</v>
      </c>
      <c r="AF42" s="13">
        <f t="shared" si="10"/>
        <v>0.286544035227054</v>
      </c>
      <c r="AH42" s="12" t="str">
        <f>+'Input Data'!I45</f>
        <v>PVD_Met</v>
      </c>
      <c r="AI42" s="12">
        <f t="shared" si="11"/>
        <v>0.03958594515269375</v>
      </c>
      <c r="AJ42" s="7">
        <f t="shared" si="12"/>
        <v>0.6032279382802713</v>
      </c>
      <c r="AK42" s="36">
        <f t="shared" si="13"/>
        <v>0.04453402747767214</v>
      </c>
      <c r="AL42" s="37">
        <f t="shared" si="14"/>
        <v>0.5924536602267199</v>
      </c>
      <c r="AM42" s="7">
        <f t="shared" si="15"/>
        <v>0.04453402747767214</v>
      </c>
      <c r="AN42" s="7">
        <f t="shared" si="16"/>
        <v>0.5816821828693091</v>
      </c>
      <c r="AO42" s="36">
        <f t="shared" si="17"/>
        <v>0.04948339635551715</v>
      </c>
      <c r="AP42" s="13">
        <f t="shared" si="18"/>
        <v>0.5062790406712927</v>
      </c>
      <c r="AT42" s="12" t="str">
        <f>+'Input Data'!I45</f>
        <v>PVD_Met</v>
      </c>
      <c r="AU42" s="92">
        <f>+(O42+P42/2)*'Input Data'!$E$37</f>
        <v>25.589993571962207</v>
      </c>
      <c r="AV42" s="1">
        <f>+(Q42+R42/2)*'Input Data'!$E$37</f>
        <v>25.557064319327406</v>
      </c>
      <c r="AW42" s="88">
        <f>+(S42+T42/2)*'Input Data'!$E$37</f>
        <v>25.1531339184245</v>
      </c>
      <c r="AX42" s="22">
        <f>+(U42+V42/2)*'Input Data'!$E$37</f>
        <v>22.69671875183726</v>
      </c>
      <c r="BA42" s="12" t="str">
        <f>+'Input Data'!I45</f>
        <v>PVD_Met</v>
      </c>
      <c r="BB42" s="30">
        <f>+('Input Data'!$C$37/'Input Data'!$B$37+'Input Data'!$D$37)*AU42</f>
        <v>1458.6296336018459</v>
      </c>
      <c r="BC42" s="30">
        <f>+('Input Data'!$C$37/'Input Data'!$B$37+'Input Data'!$D$37)*AV42</f>
        <v>1456.7526662016621</v>
      </c>
      <c r="BD42" s="30">
        <f>+('Input Data'!$C$37/'Input Data'!$B$37+'Input Data'!$D$37)*AW42</f>
        <v>1433.7286333501966</v>
      </c>
      <c r="BE42" s="30">
        <f>+('Input Data'!$C$37/'Input Data'!$B$37+'Input Data'!$D$37)*AX42</f>
        <v>1293.7129688547238</v>
      </c>
      <c r="BF42" s="12">
        <f>+('Input Data'!$C$34/'Input Data'!$B$34+'Input Data'!$D$34)*'Input Data'!P45</f>
        <v>157500</v>
      </c>
      <c r="BG42" s="12">
        <f>+('Input Data'!$C$35/'Input Data'!$B$35+'Input Data'!$D$35)*'Input Data'!$Q45</f>
        <v>114000</v>
      </c>
      <c r="BI42" s="12" t="str">
        <f>+'Input Data'!I45</f>
        <v>PVD_Met</v>
      </c>
      <c r="BJ42" s="30">
        <f t="shared" si="19"/>
        <v>1651.1116895530283</v>
      </c>
      <c r="BK42" s="30">
        <f t="shared" si="20"/>
        <v>1648.9870358753838</v>
      </c>
      <c r="BL42" s="30">
        <f t="shared" si="21"/>
        <v>1622.9247312944497</v>
      </c>
      <c r="BM42" s="30">
        <f t="shared" si="22"/>
        <v>1464.4324759313488</v>
      </c>
      <c r="BN42" s="74">
        <f t="shared" si="23"/>
        <v>178283.83923782696</v>
      </c>
      <c r="BO42" s="22">
        <f t="shared" si="24"/>
        <v>129043.54078166524</v>
      </c>
      <c r="BQ42" s="12" t="str">
        <f>+'Input Data'!I45</f>
        <v>PVD_Met</v>
      </c>
      <c r="BR42" s="30">
        <f t="shared" si="25"/>
        <v>2917.2592672036917</v>
      </c>
      <c r="BS42" s="30">
        <f t="shared" si="26"/>
        <v>2913.5053324033242</v>
      </c>
      <c r="BT42" s="30">
        <f t="shared" si="27"/>
        <v>2867.457266700393</v>
      </c>
      <c r="BU42" s="30">
        <f t="shared" si="28"/>
        <v>2587.4259377094477</v>
      </c>
      <c r="BV42" s="74">
        <f t="shared" si="29"/>
        <v>315000</v>
      </c>
      <c r="BW42" s="22">
        <f t="shared" si="30"/>
        <v>228000</v>
      </c>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row>
    <row r="43" spans="5:138" ht="12.75">
      <c r="E43" s="12" t="str">
        <f>+'Input Data'!I46</f>
        <v>PVD_Met(C) </v>
      </c>
      <c r="F43" s="211">
        <v>5.748523564361265</v>
      </c>
      <c r="G43" s="33">
        <f t="shared" si="2"/>
        <v>6</v>
      </c>
      <c r="H43" s="1">
        <f>+('Input Data'!K46+'Input Data'!L46+'Input Data'!M46)*F43/'Input Data'!O46</f>
        <v>6.208405449510165</v>
      </c>
      <c r="I43" s="20">
        <f>+'Input Data'!N46*F43</f>
        <v>1.6095865980211543</v>
      </c>
      <c r="J43" s="30">
        <f>+('Input Data'!K46+'Input Data'!L46+'Input Data'!M46)*G43/'Input Data'!O46</f>
        <v>6.4799999999999995</v>
      </c>
      <c r="K43" s="13">
        <f>+'Input Data'!N46*G43</f>
        <v>1.6800000000000002</v>
      </c>
      <c r="N43" s="12" t="str">
        <f>+'Input Data'!I46</f>
        <v>PVD_Met(C) </v>
      </c>
      <c r="O43" s="147">
        <v>0.019792972576346875</v>
      </c>
      <c r="P43" s="356">
        <v>0.30161396914013566</v>
      </c>
      <c r="Q43" s="147">
        <v>0.02226701373883607</v>
      </c>
      <c r="R43" s="356">
        <v>0.29622683011335993</v>
      </c>
      <c r="S43" s="147">
        <v>0.02226701373883607</v>
      </c>
      <c r="T43" s="356">
        <v>0.29084109143465453</v>
      </c>
      <c r="U43" s="147">
        <v>0.024741698177758575</v>
      </c>
      <c r="V43" s="357">
        <v>0.25313952033564635</v>
      </c>
      <c r="W43" s="73"/>
      <c r="X43" s="12" t="str">
        <f>+'Input Data'!I46</f>
        <v>PVD_Met(C) </v>
      </c>
      <c r="Y43" s="36">
        <f t="shared" si="3"/>
        <v>0.11378036926388631</v>
      </c>
      <c r="Z43" s="7">
        <f t="shared" si="4"/>
        <v>1.7338350089426011</v>
      </c>
      <c r="AA43" s="36">
        <f t="shared" si="5"/>
        <v>0.12800245318565517</v>
      </c>
      <c r="AB43" s="37">
        <f t="shared" si="6"/>
        <v>1.7028669133026908</v>
      </c>
      <c r="AC43" s="7">
        <f t="shared" si="7"/>
        <v>0.12800245318565517</v>
      </c>
      <c r="AD43" s="7">
        <f t="shared" si="8"/>
        <v>1.6719068675966609</v>
      </c>
      <c r="AE43" s="36">
        <f t="shared" si="9"/>
        <v>0.14222823499715934</v>
      </c>
      <c r="AF43" s="13">
        <f t="shared" si="10"/>
        <v>1.4551784977205706</v>
      </c>
      <c r="AH43" s="12" t="str">
        <f>+'Input Data'!I46</f>
        <v>PVD_Met(C) </v>
      </c>
      <c r="AI43" s="12">
        <f t="shared" si="11"/>
        <v>0.11875783545808125</v>
      </c>
      <c r="AJ43" s="7">
        <f t="shared" si="12"/>
        <v>1.809683814840814</v>
      </c>
      <c r="AK43" s="36">
        <f t="shared" si="13"/>
        <v>0.1336020824330164</v>
      </c>
      <c r="AL43" s="37">
        <f t="shared" si="14"/>
        <v>1.7773609806801596</v>
      </c>
      <c r="AM43" s="7">
        <f t="shared" si="15"/>
        <v>0.1336020824330164</v>
      </c>
      <c r="AN43" s="7">
        <f t="shared" si="16"/>
        <v>1.7450465486079272</v>
      </c>
      <c r="AO43" s="36">
        <f t="shared" si="17"/>
        <v>0.14845018906655144</v>
      </c>
      <c r="AP43" s="13">
        <f t="shared" si="18"/>
        <v>1.518837122013878</v>
      </c>
      <c r="AT43" s="12" t="str">
        <f>+'Input Data'!I46</f>
        <v>PVD_Met(C) </v>
      </c>
      <c r="AU43" s="92">
        <f>+(O43+P43/2)*'Input Data'!$E$37</f>
        <v>25.589993571962207</v>
      </c>
      <c r="AV43" s="1">
        <f>+(Q43+R43/2)*'Input Data'!$E$37</f>
        <v>25.557064319327406</v>
      </c>
      <c r="AW43" s="88">
        <f>+(S43+T43/2)*'Input Data'!$E$37</f>
        <v>25.1531339184245</v>
      </c>
      <c r="AX43" s="22">
        <f>+(U43+V43/2)*'Input Data'!$E$37</f>
        <v>22.69671875183726</v>
      </c>
      <c r="BA43" s="12" t="str">
        <f>+'Input Data'!I46</f>
        <v>PVD_Met(C) </v>
      </c>
      <c r="BB43" s="30">
        <f>+('Input Data'!$C$37/'Input Data'!$B$37+'Input Data'!$D$37)*AU43</f>
        <v>1458.6296336018459</v>
      </c>
      <c r="BC43" s="30">
        <f>+('Input Data'!$C$37/'Input Data'!$B$37+'Input Data'!$D$37)*AV43</f>
        <v>1456.7526662016621</v>
      </c>
      <c r="BD43" s="30">
        <f>+('Input Data'!$C$37/'Input Data'!$B$37+'Input Data'!$D$37)*AW43</f>
        <v>1433.7286333501966</v>
      </c>
      <c r="BE43" s="30">
        <f>+('Input Data'!$C$37/'Input Data'!$B$37+'Input Data'!$D$37)*AX43</f>
        <v>1293.7129688547238</v>
      </c>
      <c r="BF43" s="12">
        <f>+('Input Data'!$C$34/'Input Data'!$B$34+'Input Data'!$D$34)*'Input Data'!P46</f>
        <v>157500</v>
      </c>
      <c r="BG43" s="12">
        <f>+('Input Data'!$C$35/'Input Data'!$B$35+'Input Data'!$D$35)*'Input Data'!$Q46</f>
        <v>114000</v>
      </c>
      <c r="BI43" s="12" t="str">
        <f>+'Input Data'!I46</f>
        <v>PVD_Met(C) </v>
      </c>
      <c r="BJ43" s="30">
        <f t="shared" si="19"/>
        <v>8384.96682043585</v>
      </c>
      <c r="BK43" s="30">
        <f t="shared" si="20"/>
        <v>8374.177029106355</v>
      </c>
      <c r="BL43" s="30">
        <f t="shared" si="21"/>
        <v>8241.822833713077</v>
      </c>
      <c r="BM43" s="30">
        <f t="shared" si="22"/>
        <v>7436.939486981151</v>
      </c>
      <c r="BN43" s="74">
        <f t="shared" si="23"/>
        <v>905392.4613868992</v>
      </c>
      <c r="BO43" s="22">
        <f t="shared" si="24"/>
        <v>655331.6863371842</v>
      </c>
      <c r="BQ43" s="12" t="str">
        <f>+'Input Data'!I46</f>
        <v>PVD_Met(C) </v>
      </c>
      <c r="BR43" s="30">
        <f t="shared" si="25"/>
        <v>8751.777801611075</v>
      </c>
      <c r="BS43" s="30">
        <f t="shared" si="26"/>
        <v>8740.515997209972</v>
      </c>
      <c r="BT43" s="30">
        <f t="shared" si="27"/>
        <v>8602.37180010118</v>
      </c>
      <c r="BU43" s="30">
        <f t="shared" si="28"/>
        <v>7762.277813128343</v>
      </c>
      <c r="BV43" s="74">
        <f t="shared" si="29"/>
        <v>945000</v>
      </c>
      <c r="BW43" s="22">
        <f t="shared" si="30"/>
        <v>684000</v>
      </c>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row>
    <row r="44" spans="5:138" ht="12.75">
      <c r="E44" s="12" t="str">
        <f>+'Input Data'!I47</f>
        <v>RTP_OxAn(C) </v>
      </c>
      <c r="F44" s="211">
        <v>2.416898466976984</v>
      </c>
      <c r="G44" s="33">
        <f t="shared" si="2"/>
        <v>3</v>
      </c>
      <c r="H44" s="1">
        <f>+('Input Data'!K47+'Input Data'!L47+'Input Data'!M47)*F44/'Input Data'!O47</f>
        <v>0.9788438791256784</v>
      </c>
      <c r="I44" s="20">
        <f>+'Input Data'!N47*F44</f>
        <v>0.2537743390325833</v>
      </c>
      <c r="J44" s="30">
        <f>+('Input Data'!K47+'Input Data'!L47+'Input Data'!M47)*G44/'Input Data'!O47</f>
        <v>1.2149999999999999</v>
      </c>
      <c r="K44" s="13">
        <f>+'Input Data'!N47*G44</f>
        <v>0.315</v>
      </c>
      <c r="N44" s="12" t="str">
        <f>+'Input Data'!I47</f>
        <v>RTP_OxAn(C) </v>
      </c>
      <c r="O44" s="147">
        <v>0.019792972576346875</v>
      </c>
      <c r="P44" s="356">
        <v>0.12064558765605429</v>
      </c>
      <c r="Q44" s="147">
        <v>0.02226701373883607</v>
      </c>
      <c r="R44" s="356">
        <v>0.118490732045344</v>
      </c>
      <c r="S44" s="147">
        <v>0.02226701373883607</v>
      </c>
      <c r="T44" s="356">
        <v>0.11633643657386183</v>
      </c>
      <c r="U44" s="147">
        <v>0.024741698177758575</v>
      </c>
      <c r="V44" s="357">
        <v>0.10125580813425857</v>
      </c>
      <c r="W44" s="73"/>
      <c r="X44" s="12" t="str">
        <f>+'Input Data'!I47</f>
        <v>RTP_OxAn(C) </v>
      </c>
      <c r="Y44" s="36">
        <f t="shared" si="3"/>
        <v>0.04783760507669025</v>
      </c>
      <c r="Z44" s="7">
        <f t="shared" si="4"/>
        <v>0.29158813585345494</v>
      </c>
      <c r="AA44" s="36">
        <f t="shared" si="5"/>
        <v>0.05381711136954834</v>
      </c>
      <c r="AB44" s="37">
        <f t="shared" si="6"/>
        <v>0.2863800686313725</v>
      </c>
      <c r="AC44" s="7">
        <f t="shared" si="7"/>
        <v>0.05381711136954834</v>
      </c>
      <c r="AD44" s="7">
        <f t="shared" si="8"/>
        <v>0.2811733552089318</v>
      </c>
      <c r="AE44" s="36">
        <f t="shared" si="9"/>
        <v>0.05979817239623194</v>
      </c>
      <c r="AF44" s="13">
        <f t="shared" si="10"/>
        <v>0.24472500745220516</v>
      </c>
      <c r="AH44" s="12" t="str">
        <f>+'Input Data'!I47</f>
        <v>RTP_OxAn(C) </v>
      </c>
      <c r="AI44" s="12">
        <f t="shared" si="11"/>
        <v>0.05937891772904062</v>
      </c>
      <c r="AJ44" s="7">
        <f t="shared" si="12"/>
        <v>0.3619367629681629</v>
      </c>
      <c r="AK44" s="36">
        <f t="shared" si="13"/>
        <v>0.0668010412165082</v>
      </c>
      <c r="AL44" s="37">
        <f t="shared" si="14"/>
        <v>0.355472196136032</v>
      </c>
      <c r="AM44" s="7">
        <f t="shared" si="15"/>
        <v>0.0668010412165082</v>
      </c>
      <c r="AN44" s="7">
        <f t="shared" si="16"/>
        <v>0.3490093097215855</v>
      </c>
      <c r="AO44" s="36">
        <f t="shared" si="17"/>
        <v>0.07422509453327572</v>
      </c>
      <c r="AP44" s="13">
        <f t="shared" si="18"/>
        <v>0.3037674244027757</v>
      </c>
      <c r="AT44" s="12" t="str">
        <f>+'Input Data'!I47</f>
        <v>RTP_OxAn(C) </v>
      </c>
      <c r="AU44" s="92">
        <f>+(O44+P44/2)*'Input Data'!$E$37</f>
        <v>12.017364960656105</v>
      </c>
      <c r="AV44" s="1">
        <f>+(Q44+R44/2)*'Input Data'!$E$37</f>
        <v>12.226856964226211</v>
      </c>
      <c r="AW44" s="88">
        <f>+(S44+T44/2)*'Input Data'!$E$37</f>
        <v>12.06528480386505</v>
      </c>
      <c r="AX44" s="22">
        <f>+(U44+V44/2)*'Input Data'!$E$37</f>
        <v>11.305440336733177</v>
      </c>
      <c r="BA44" s="12" t="str">
        <f>+'Input Data'!I47</f>
        <v>RTP_OxAn(C) </v>
      </c>
      <c r="BB44" s="30">
        <f>+('Input Data'!$C$37/'Input Data'!$B$37+'Input Data'!$D$37)*AU44</f>
        <v>684.9898027573979</v>
      </c>
      <c r="BC44" s="30">
        <f>+('Input Data'!$C$37/'Input Data'!$B$37+'Input Data'!$D$37)*AV44</f>
        <v>696.9308469608941</v>
      </c>
      <c r="BD44" s="30">
        <f>+('Input Data'!$C$37/'Input Data'!$B$37+'Input Data'!$D$37)*AW44</f>
        <v>687.7212338203078</v>
      </c>
      <c r="BE44" s="30">
        <f>+('Input Data'!$C$37/'Input Data'!$B$37+'Input Data'!$D$37)*AX44</f>
        <v>644.4100991937911</v>
      </c>
      <c r="BF44" s="12">
        <f>+('Input Data'!$C$34/'Input Data'!$B$34+'Input Data'!$D$34)*'Input Data'!P47</f>
        <v>126000</v>
      </c>
      <c r="BG44" s="12">
        <f>+('Input Data'!$C$35/'Input Data'!$B$35+'Input Data'!$D$35)*'Input Data'!$Q47</f>
        <v>91200</v>
      </c>
      <c r="BI44" s="12" t="str">
        <f>+'Input Data'!I47</f>
        <v>RTP_OxAn(C) </v>
      </c>
      <c r="BJ44" s="30">
        <f t="shared" si="19"/>
        <v>1655.5508041792216</v>
      </c>
      <c r="BK44" s="30">
        <f t="shared" si="20"/>
        <v>1684.4110956087559</v>
      </c>
      <c r="BL44" s="30">
        <f t="shared" si="21"/>
        <v>1662.1523957278218</v>
      </c>
      <c r="BM44" s="30">
        <f t="shared" si="22"/>
        <v>1557.47378084596</v>
      </c>
      <c r="BN44" s="74">
        <f t="shared" si="23"/>
        <v>304529.2068391</v>
      </c>
      <c r="BO44" s="22">
        <f t="shared" si="24"/>
        <v>220421.14018830092</v>
      </c>
      <c r="BQ44" s="12" t="str">
        <f>+'Input Data'!I47</f>
        <v>RTP_OxAn(C) </v>
      </c>
      <c r="BR44" s="30">
        <f t="shared" si="25"/>
        <v>2054.9694082721935</v>
      </c>
      <c r="BS44" s="30">
        <f t="shared" si="26"/>
        <v>2090.7925408826823</v>
      </c>
      <c r="BT44" s="30">
        <f t="shared" si="27"/>
        <v>2063.163701460923</v>
      </c>
      <c r="BU44" s="30">
        <f t="shared" si="28"/>
        <v>1933.2302975813732</v>
      </c>
      <c r="BV44" s="74">
        <f t="shared" si="29"/>
        <v>378000</v>
      </c>
      <c r="BW44" s="22">
        <f t="shared" si="30"/>
        <v>273600</v>
      </c>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row>
    <row r="45" spans="5:138" ht="12.75">
      <c r="E45" s="12" t="str">
        <f>+'Input Data'!I48</f>
        <v>Test</v>
      </c>
      <c r="F45" s="211">
        <v>15.581868129584766</v>
      </c>
      <c r="G45" s="33">
        <f t="shared" si="2"/>
        <v>16</v>
      </c>
      <c r="H45" s="1">
        <f>+('Input Data'!K48+'Input Data'!L48+'Input Data'!M48)*F45/'Input Data'!O48</f>
        <v>4.207104394987886</v>
      </c>
      <c r="I45" s="20">
        <f>+'Input Data'!N48*F45</f>
        <v>1.0907307690709338</v>
      </c>
      <c r="J45" s="30">
        <f>+('Input Data'!K48+'Input Data'!L48+'Input Data'!M48)*G45/'Input Data'!O48</f>
        <v>4.319999999999999</v>
      </c>
      <c r="K45" s="13">
        <f>+'Input Data'!N48*G45</f>
        <v>1.12</v>
      </c>
      <c r="N45" s="12" t="str">
        <f>+'Input Data'!I48</f>
        <v>Test</v>
      </c>
      <c r="O45" s="147">
        <v>0.09896486288173437</v>
      </c>
      <c r="P45" s="356">
        <v>0.12064558765605429</v>
      </c>
      <c r="Q45" s="147">
        <v>0.11133506869418035</v>
      </c>
      <c r="R45" s="356">
        <v>0.118490732045344</v>
      </c>
      <c r="S45" s="147">
        <v>0.11133506869418035</v>
      </c>
      <c r="T45" s="356">
        <v>0.11633643657386183</v>
      </c>
      <c r="U45" s="147">
        <v>0.12370849088879286</v>
      </c>
      <c r="V45" s="357">
        <v>0.10125580813425857</v>
      </c>
      <c r="W45" s="73"/>
      <c r="X45" s="12" t="str">
        <f>+'Input Data'!I48</f>
        <v>Test</v>
      </c>
      <c r="Y45" s="36">
        <f t="shared" si="3"/>
        <v>1.542057442885623</v>
      </c>
      <c r="Z45" s="7">
        <f t="shared" si="4"/>
        <v>1.8798836372728978</v>
      </c>
      <c r="AA45" s="36">
        <f t="shared" si="5"/>
        <v>1.7348083585909795</v>
      </c>
      <c r="AB45" s="37">
        <f t="shared" si="6"/>
        <v>1.846306961308514</v>
      </c>
      <c r="AC45" s="7">
        <f t="shared" si="7"/>
        <v>1.7348083585909795</v>
      </c>
      <c r="AD45" s="7">
        <f t="shared" si="8"/>
        <v>1.8127390133597172</v>
      </c>
      <c r="AE45" s="36">
        <f t="shared" si="9"/>
        <v>1.9276093915391088</v>
      </c>
      <c r="AF45" s="13">
        <f t="shared" si="10"/>
        <v>1.5777546497025534</v>
      </c>
      <c r="AH45" s="12" t="str">
        <f>+'Input Data'!I48</f>
        <v>Test</v>
      </c>
      <c r="AI45" s="12">
        <f t="shared" si="11"/>
        <v>1.5834378061077499</v>
      </c>
      <c r="AJ45" s="7">
        <f t="shared" si="12"/>
        <v>1.9303294024968687</v>
      </c>
      <c r="AK45" s="36">
        <f t="shared" si="13"/>
        <v>1.7813610991068856</v>
      </c>
      <c r="AL45" s="37">
        <f t="shared" si="14"/>
        <v>1.895851712725504</v>
      </c>
      <c r="AM45" s="7">
        <f t="shared" si="15"/>
        <v>1.7813610991068856</v>
      </c>
      <c r="AN45" s="7">
        <f t="shared" si="16"/>
        <v>1.8613829851817894</v>
      </c>
      <c r="AO45" s="36">
        <f t="shared" si="17"/>
        <v>1.9793358542206858</v>
      </c>
      <c r="AP45" s="13">
        <f t="shared" si="18"/>
        <v>1.620092930148137</v>
      </c>
      <c r="AT45" s="12" t="str">
        <f>+'Input Data'!I48</f>
        <v>Test</v>
      </c>
      <c r="AU45" s="92">
        <f>+(O45+P45/2)*'Input Data'!$E$37</f>
        <v>23.89314850646423</v>
      </c>
      <c r="AV45" s="1">
        <f>+(Q45+R45/2)*'Input Data'!$E$37</f>
        <v>25.587065207527854</v>
      </c>
      <c r="AW45" s="88">
        <f>+(S45+T45/2)*'Input Data'!$E$37</f>
        <v>25.425493047166693</v>
      </c>
      <c r="AX45" s="22">
        <f>+(U45+V45/2)*'Input Data'!$E$37</f>
        <v>26.150459243388323</v>
      </c>
      <c r="BA45" s="12" t="str">
        <f>+'Input Data'!I48</f>
        <v>Test</v>
      </c>
      <c r="BB45" s="30">
        <f>+('Input Data'!$C$37/'Input Data'!$B$37+'Input Data'!$D$37)*AU45</f>
        <v>1361.909464868461</v>
      </c>
      <c r="BC45" s="30">
        <f>+('Input Data'!$C$37/'Input Data'!$B$37+'Input Data'!$D$37)*AV45</f>
        <v>1458.4627168290876</v>
      </c>
      <c r="BD45" s="30">
        <f>+('Input Data'!$C$37/'Input Data'!$B$37+'Input Data'!$D$37)*AW45</f>
        <v>1449.2531036885016</v>
      </c>
      <c r="BE45" s="30">
        <f>+('Input Data'!$C$37/'Input Data'!$B$37+'Input Data'!$D$37)*AX45</f>
        <v>1490.5761768731343</v>
      </c>
      <c r="BF45" s="12">
        <f>+('Input Data'!$C$34/'Input Data'!$B$34+'Input Data'!$D$34)*'Input Data'!P48</f>
        <v>37800</v>
      </c>
      <c r="BG45" s="12">
        <f>+('Input Data'!$C$35/'Input Data'!$B$35+'Input Data'!$D$35)*'Input Data'!$Q48</f>
        <v>27360</v>
      </c>
      <c r="BI45" s="12" t="str">
        <f>+'Input Data'!I48</f>
        <v>Test</v>
      </c>
      <c r="BJ45" s="30">
        <f t="shared" si="19"/>
        <v>21221.09368601372</v>
      </c>
      <c r="BK45" s="30">
        <f t="shared" si="20"/>
        <v>22725.573725546772</v>
      </c>
      <c r="BL45" s="30">
        <f t="shared" si="21"/>
        <v>22582.07074806567</v>
      </c>
      <c r="BM45" s="30">
        <f t="shared" si="22"/>
        <v>23225.961425137797</v>
      </c>
      <c r="BN45" s="74">
        <f t="shared" si="23"/>
        <v>588994.6152983041</v>
      </c>
      <c r="BO45" s="22">
        <f t="shared" si="24"/>
        <v>426319.9120254392</v>
      </c>
      <c r="BQ45" s="12" t="str">
        <f>+'Input Data'!I48</f>
        <v>Test</v>
      </c>
      <c r="BR45" s="30">
        <f t="shared" si="25"/>
        <v>21790.551437895378</v>
      </c>
      <c r="BS45" s="30">
        <f t="shared" si="26"/>
        <v>23335.403469265402</v>
      </c>
      <c r="BT45" s="30">
        <f t="shared" si="27"/>
        <v>23188.049659016026</v>
      </c>
      <c r="BU45" s="30">
        <f t="shared" si="28"/>
        <v>23849.21882997015</v>
      </c>
      <c r="BV45" s="74">
        <f t="shared" si="29"/>
        <v>604800</v>
      </c>
      <c r="BW45" s="22">
        <f t="shared" si="30"/>
        <v>437760</v>
      </c>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row>
    <row r="46" spans="5:138" ht="12.75">
      <c r="E46" s="12" t="str">
        <f>+'Input Data'!I49</f>
        <v>VP_HF_Clean</v>
      </c>
      <c r="F46" s="211">
        <v>3.833845708490316</v>
      </c>
      <c r="G46" s="33">
        <f t="shared" si="2"/>
        <v>4</v>
      </c>
      <c r="H46" s="1">
        <f>+('Input Data'!K49+'Input Data'!L49+'Input Data'!M49)*F46/'Input Data'!O49</f>
        <v>0.8281106730339083</v>
      </c>
      <c r="I46" s="20">
        <f>+'Input Data'!N49*F46</f>
        <v>0.2146953596754577</v>
      </c>
      <c r="J46" s="30">
        <f>+('Input Data'!K49+'Input Data'!L49+'Input Data'!M49)*G46/'Input Data'!O49</f>
        <v>0.8640000000000001</v>
      </c>
      <c r="K46" s="13">
        <f>+'Input Data'!N49*G46</f>
        <v>0.224</v>
      </c>
      <c r="N46" s="12" t="str">
        <f>+'Input Data'!I49</f>
        <v>VP_HF_Clean</v>
      </c>
      <c r="O46" s="147">
        <v>0.03958594515269375</v>
      </c>
      <c r="P46" s="356">
        <v>0.1809683814840814</v>
      </c>
      <c r="Q46" s="147">
        <v>0.04453402747767214</v>
      </c>
      <c r="R46" s="356">
        <v>0.17773609806801596</v>
      </c>
      <c r="S46" s="147">
        <v>0.04453402747767214</v>
      </c>
      <c r="T46" s="356">
        <v>0.17450465486079272</v>
      </c>
      <c r="U46" s="147">
        <v>0.04948339635551715</v>
      </c>
      <c r="V46" s="357">
        <v>0.15188371220138783</v>
      </c>
      <c r="W46" s="73"/>
      <c r="X46" s="12" t="str">
        <f>+'Input Data'!I49</f>
        <v>VP_HF_Clean</v>
      </c>
      <c r="Y46" s="36">
        <f t="shared" si="3"/>
        <v>0.15176640594018795</v>
      </c>
      <c r="Z46" s="7">
        <f t="shared" si="4"/>
        <v>0.6938048527251838</v>
      </c>
      <c r="AA46" s="36">
        <f t="shared" si="5"/>
        <v>0.17073659012706316</v>
      </c>
      <c r="AB46" s="37">
        <f t="shared" si="6"/>
        <v>0.681412776821877</v>
      </c>
      <c r="AC46" s="7">
        <f t="shared" si="7"/>
        <v>0.17073659012706316</v>
      </c>
      <c r="AD46" s="7">
        <f t="shared" si="8"/>
        <v>0.6690239221496339</v>
      </c>
      <c r="AE46" s="36">
        <f t="shared" si="9"/>
        <v>0.18971170675912477</v>
      </c>
      <c r="AF46" s="13">
        <f t="shared" si="10"/>
        <v>0.5822987182128689</v>
      </c>
      <c r="AH46" s="12" t="str">
        <f>+'Input Data'!I49</f>
        <v>VP_HF_Clean</v>
      </c>
      <c r="AI46" s="12">
        <f t="shared" si="11"/>
        <v>0.158343780610775</v>
      </c>
      <c r="AJ46" s="7">
        <f t="shared" si="12"/>
        <v>0.7238735259363256</v>
      </c>
      <c r="AK46" s="36">
        <f t="shared" si="13"/>
        <v>0.17813610991068857</v>
      </c>
      <c r="AL46" s="37">
        <f t="shared" si="14"/>
        <v>0.7109443922720639</v>
      </c>
      <c r="AM46" s="7">
        <f t="shared" si="15"/>
        <v>0.17813610991068857</v>
      </c>
      <c r="AN46" s="7">
        <f t="shared" si="16"/>
        <v>0.6980186194431709</v>
      </c>
      <c r="AO46" s="36">
        <f t="shared" si="17"/>
        <v>0.1979335854220686</v>
      </c>
      <c r="AP46" s="13">
        <f t="shared" si="18"/>
        <v>0.6075348488055513</v>
      </c>
      <c r="AT46" s="12" t="str">
        <f>+'Input Data'!I49</f>
        <v>VP_HF_Clean</v>
      </c>
      <c r="AU46" s="92">
        <f>+(O46+P46/2)*'Input Data'!$E$37</f>
        <v>19.510520384210167</v>
      </c>
      <c r="AV46" s="1">
        <f>+(Q46+R46/2)*'Input Data'!$E$37</f>
        <v>20.01031147675202</v>
      </c>
      <c r="AW46" s="88">
        <f>+(S46+T46/2)*'Input Data'!$E$37</f>
        <v>19.767953236210275</v>
      </c>
      <c r="AX46" s="22">
        <f>+(U46+V46/2)*'Input Data'!$E$37</f>
        <v>18.813787868431657</v>
      </c>
      <c r="BA46" s="12" t="str">
        <f>+'Input Data'!I49</f>
        <v>VP_HF_Clean</v>
      </c>
      <c r="BB46" s="30">
        <f>+('Input Data'!$C$37/'Input Data'!$B$37+'Input Data'!$D$37)*AU46</f>
        <v>1112.0996618999795</v>
      </c>
      <c r="BC46" s="30">
        <f>+('Input Data'!$C$37/'Input Data'!$B$37+'Input Data'!$D$37)*AV46</f>
        <v>1140.587754174865</v>
      </c>
      <c r="BD46" s="30">
        <f>+('Input Data'!$C$37/'Input Data'!$B$37+'Input Data'!$D$37)*AW46</f>
        <v>1126.7733344639857</v>
      </c>
      <c r="BE46" s="30">
        <f>+('Input Data'!$C$37/'Input Data'!$B$37+'Input Data'!$D$37)*AX46</f>
        <v>1072.3859085006045</v>
      </c>
      <c r="BF46" s="12">
        <f>+('Input Data'!$C$34/'Input Data'!$B$34+'Input Data'!$D$34)*'Input Data'!P49</f>
        <v>100800</v>
      </c>
      <c r="BG46" s="12">
        <f>+('Input Data'!$C$35/'Input Data'!$B$35+'Input Data'!$D$35)*'Input Data'!$Q49</f>
        <v>72960</v>
      </c>
      <c r="BI46" s="12" t="str">
        <f>+'Input Data'!I49</f>
        <v>VP_HF_Clean</v>
      </c>
      <c r="BJ46" s="30">
        <f t="shared" si="19"/>
        <v>4263.618516188768</v>
      </c>
      <c r="BK46" s="30">
        <f t="shared" si="20"/>
        <v>4372.837466499914</v>
      </c>
      <c r="BL46" s="30">
        <f t="shared" si="21"/>
        <v>4319.875112776075</v>
      </c>
      <c r="BM46" s="30">
        <f t="shared" si="22"/>
        <v>4111.3621131505315</v>
      </c>
      <c r="BN46" s="74">
        <f t="shared" si="23"/>
        <v>386451.6474158238</v>
      </c>
      <c r="BO46" s="22">
        <f t="shared" si="24"/>
        <v>279717.38289145345</v>
      </c>
      <c r="BQ46" s="12" t="str">
        <f>+'Input Data'!I49</f>
        <v>VP_HF_Clean</v>
      </c>
      <c r="BR46" s="30">
        <f t="shared" si="25"/>
        <v>4448.398647599918</v>
      </c>
      <c r="BS46" s="30">
        <f t="shared" si="26"/>
        <v>4562.35101669946</v>
      </c>
      <c r="BT46" s="30">
        <f t="shared" si="27"/>
        <v>4507.093337855943</v>
      </c>
      <c r="BU46" s="30">
        <f t="shared" si="28"/>
        <v>4289.543634002418</v>
      </c>
      <c r="BV46" s="74">
        <f t="shared" si="29"/>
        <v>403200</v>
      </c>
      <c r="BW46" s="22">
        <f t="shared" si="30"/>
        <v>291840</v>
      </c>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row>
    <row r="47" spans="5:138" ht="12.75">
      <c r="E47" s="12" t="str">
        <f>+'Input Data'!I50</f>
        <v>Wet_Bench</v>
      </c>
      <c r="F47" s="211">
        <v>8.479715918380998</v>
      </c>
      <c r="G47" s="33">
        <f t="shared" si="2"/>
        <v>9</v>
      </c>
      <c r="H47" s="1">
        <f>+('Input Data'!K50+'Input Data'!L50+'Input Data'!M50)*F47/'Input Data'!O50</f>
        <v>4.579046595925739</v>
      </c>
      <c r="I47" s="20">
        <f>+'Input Data'!N50*F47</f>
        <v>1.1871602285733398</v>
      </c>
      <c r="J47" s="30">
        <f>+('Input Data'!K50+'Input Data'!L50+'Input Data'!M50)*G47/'Input Data'!O50</f>
        <v>4.859999999999999</v>
      </c>
      <c r="K47" s="13">
        <f>+'Input Data'!N50*G47</f>
        <v>1.2600000000000002</v>
      </c>
      <c r="N47" s="12" t="str">
        <f>+'Input Data'!I50</f>
        <v>Wet_Bench</v>
      </c>
      <c r="O47" s="147">
        <v>0.03958594515269375</v>
      </c>
      <c r="P47" s="356">
        <v>0.1809683814840814</v>
      </c>
      <c r="Q47" s="147">
        <v>0.04453402747767214</v>
      </c>
      <c r="R47" s="356">
        <v>0.17773609806801596</v>
      </c>
      <c r="S47" s="147">
        <v>0.04453402747767214</v>
      </c>
      <c r="T47" s="356">
        <v>0.17450465486079272</v>
      </c>
      <c r="U47" s="147">
        <v>0.04948339635551715</v>
      </c>
      <c r="V47" s="357">
        <v>0.15188371220138783</v>
      </c>
      <c r="W47" s="73"/>
      <c r="X47" s="12" t="str">
        <f>+'Input Data'!I50</f>
        <v>Wet_Bench</v>
      </c>
      <c r="Y47" s="36">
        <f t="shared" si="3"/>
        <v>0.33567756925545433</v>
      </c>
      <c r="Z47" s="7">
        <f t="shared" si="4"/>
        <v>1.5345604651942102</v>
      </c>
      <c r="AA47" s="36">
        <f t="shared" si="5"/>
        <v>0.37763590171203326</v>
      </c>
      <c r="AB47" s="37">
        <f t="shared" si="6"/>
        <v>1.5071516200582813</v>
      </c>
      <c r="AC47" s="7">
        <f t="shared" si="7"/>
        <v>0.37763590171203326</v>
      </c>
      <c r="AD47" s="7">
        <f t="shared" si="8"/>
        <v>1.479749899654646</v>
      </c>
      <c r="AE47" s="36">
        <f t="shared" si="9"/>
        <v>0.41960514377143504</v>
      </c>
      <c r="AF47" s="13">
        <f t="shared" si="10"/>
        <v>1.2879307320969067</v>
      </c>
      <c r="AH47" s="12" t="str">
        <f>+'Input Data'!I50</f>
        <v>Wet_Bench</v>
      </c>
      <c r="AI47" s="12">
        <f t="shared" si="11"/>
        <v>0.35627350637424376</v>
      </c>
      <c r="AJ47" s="7">
        <f t="shared" si="12"/>
        <v>1.6287154333567326</v>
      </c>
      <c r="AK47" s="36">
        <f t="shared" si="13"/>
        <v>0.4008062472990493</v>
      </c>
      <c r="AL47" s="37">
        <f t="shared" si="14"/>
        <v>1.5996248826121438</v>
      </c>
      <c r="AM47" s="7">
        <f t="shared" si="15"/>
        <v>0.4008062472990493</v>
      </c>
      <c r="AN47" s="7">
        <f t="shared" si="16"/>
        <v>1.5705418937471345</v>
      </c>
      <c r="AO47" s="36">
        <f t="shared" si="17"/>
        <v>0.4453505671996543</v>
      </c>
      <c r="AP47" s="13">
        <f t="shared" si="18"/>
        <v>1.3669534098124905</v>
      </c>
      <c r="AT47" s="12" t="str">
        <f>+'Input Data'!I50</f>
        <v>Wet_Bench</v>
      </c>
      <c r="AU47" s="92">
        <f>+(O47+P47/2)*'Input Data'!$E$37</f>
        <v>19.510520384210167</v>
      </c>
      <c r="AV47" s="1">
        <f>+(Q47+R47/2)*'Input Data'!$E$37</f>
        <v>20.01031147675202</v>
      </c>
      <c r="AW47" s="88">
        <f>+(S47+T47/2)*'Input Data'!$E$37</f>
        <v>19.767953236210275</v>
      </c>
      <c r="AX47" s="22">
        <f>+(U47+V47/2)*'Input Data'!$E$37</f>
        <v>18.813787868431657</v>
      </c>
      <c r="BA47" s="12" t="str">
        <f>+'Input Data'!I50</f>
        <v>Wet_Bench</v>
      </c>
      <c r="BB47" s="30">
        <f>+('Input Data'!$C$37/'Input Data'!$B$37+'Input Data'!$D$37)*AU47</f>
        <v>1112.0996618999795</v>
      </c>
      <c r="BC47" s="30">
        <f>+('Input Data'!$C$37/'Input Data'!$B$37+'Input Data'!$D$37)*AV47</f>
        <v>1140.587754174865</v>
      </c>
      <c r="BD47" s="30">
        <f>+('Input Data'!$C$37/'Input Data'!$B$37+'Input Data'!$D$37)*AW47</f>
        <v>1126.7733344639857</v>
      </c>
      <c r="BE47" s="30">
        <f>+('Input Data'!$C$37/'Input Data'!$B$37+'Input Data'!$D$37)*AX47</f>
        <v>1072.3859085006045</v>
      </c>
      <c r="BF47" s="12">
        <f>+('Input Data'!$C$34/'Input Data'!$B$34+'Input Data'!$D$34)*'Input Data'!P50</f>
        <v>157500</v>
      </c>
      <c r="BG47" s="12">
        <f>+('Input Data'!$C$35/'Input Data'!$B$35+'Input Data'!$D$35)*'Input Data'!$Q50</f>
        <v>114000</v>
      </c>
      <c r="BI47" s="12" t="str">
        <f>+'Input Data'!I50</f>
        <v>Wet_Bench</v>
      </c>
      <c r="BJ47" s="30">
        <f t="shared" si="19"/>
        <v>9430.289205839383</v>
      </c>
      <c r="BK47" s="30">
        <f t="shared" si="20"/>
        <v>9671.860135387036</v>
      </c>
      <c r="BL47" s="30">
        <f t="shared" si="21"/>
        <v>9554.717780661496</v>
      </c>
      <c r="BM47" s="30">
        <f t="shared" si="22"/>
        <v>9093.527858960046</v>
      </c>
      <c r="BN47" s="74">
        <f t="shared" si="23"/>
        <v>1335555.2571450074</v>
      </c>
      <c r="BO47" s="22">
        <f t="shared" si="24"/>
        <v>966687.6146954339</v>
      </c>
      <c r="BQ47" s="12" t="str">
        <f>+'Input Data'!I50</f>
        <v>Wet_Bench</v>
      </c>
      <c r="BR47" s="30">
        <f t="shared" si="25"/>
        <v>10008.896957099816</v>
      </c>
      <c r="BS47" s="30">
        <f t="shared" si="26"/>
        <v>10265.289787573785</v>
      </c>
      <c r="BT47" s="30">
        <f t="shared" si="27"/>
        <v>10140.960010175872</v>
      </c>
      <c r="BU47" s="30">
        <f t="shared" si="28"/>
        <v>9651.47317650544</v>
      </c>
      <c r="BV47" s="74">
        <f t="shared" si="29"/>
        <v>1417500</v>
      </c>
      <c r="BW47" s="22">
        <f t="shared" si="30"/>
        <v>1026000</v>
      </c>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row>
    <row r="48" spans="5:138" ht="13.5" thickBot="1">
      <c r="E48" s="233" t="str">
        <f>+'Input Data'!I51</f>
        <v>Wet_Bench(I)</v>
      </c>
      <c r="F48" s="141">
        <v>9.451388784478164</v>
      </c>
      <c r="G48" s="34">
        <f t="shared" si="2"/>
        <v>10</v>
      </c>
      <c r="H48" s="31">
        <f>+('Input Data'!K51+'Input Data'!L51+'Input Data'!M51)*F48/'Input Data'!O51</f>
        <v>5.103749943618208</v>
      </c>
      <c r="I48" s="21">
        <f>+'Input Data'!N51*F48</f>
        <v>1.3231944298269431</v>
      </c>
      <c r="J48" s="31">
        <f>+('Input Data'!K51+'Input Data'!L51+'Input Data'!M51)*G48/'Input Data'!O51</f>
        <v>5.3999999999999995</v>
      </c>
      <c r="K48" s="16">
        <f>+'Input Data'!N51*G48</f>
        <v>1.4000000000000001</v>
      </c>
      <c r="N48" s="91" t="str">
        <f>+'Input Data'!I51</f>
        <v>Wet_Bench(I)</v>
      </c>
      <c r="O48" s="152">
        <v>0.03958594515269375</v>
      </c>
      <c r="P48" s="358">
        <v>0.1809683814840814</v>
      </c>
      <c r="Q48" s="152">
        <v>0.04453402747767214</v>
      </c>
      <c r="R48" s="358">
        <v>0.17773609806801596</v>
      </c>
      <c r="S48" s="152">
        <v>0.04453402747767214</v>
      </c>
      <c r="T48" s="358">
        <v>0.17450465486079272</v>
      </c>
      <c r="U48" s="152">
        <v>0.04948339635551715</v>
      </c>
      <c r="V48" s="359">
        <v>0.15188371220138783</v>
      </c>
      <c r="W48" s="73"/>
      <c r="X48" s="91" t="str">
        <f>+'Input Data'!I51</f>
        <v>Wet_Bench(I)</v>
      </c>
      <c r="Y48" s="29">
        <f t="shared" si="3"/>
        <v>0.3741421580391375</v>
      </c>
      <c r="Z48" s="15">
        <f t="shared" si="4"/>
        <v>1.7104025311038127</v>
      </c>
      <c r="AA48" s="29">
        <f t="shared" si="5"/>
        <v>0.42090840783011285</v>
      </c>
      <c r="AB48" s="35">
        <f t="shared" si="6"/>
        <v>1.679852963876957</v>
      </c>
      <c r="AC48" s="15">
        <f t="shared" si="7"/>
        <v>0.42090840783011285</v>
      </c>
      <c r="AD48" s="15">
        <f t="shared" si="8"/>
        <v>1.6493113377905293</v>
      </c>
      <c r="AE48" s="29">
        <f t="shared" si="9"/>
        <v>0.46768681733242246</v>
      </c>
      <c r="AF48" s="16">
        <f t="shared" si="10"/>
        <v>1.435512014045106</v>
      </c>
      <c r="AH48" s="71" t="str">
        <f>+'Input Data'!I51</f>
        <v>Wet_Bench(I)</v>
      </c>
      <c r="AI48" s="14">
        <f t="shared" si="11"/>
        <v>0.3958594515269375</v>
      </c>
      <c r="AJ48" s="15">
        <f t="shared" si="12"/>
        <v>1.809683814840814</v>
      </c>
      <c r="AK48" s="29">
        <f t="shared" si="13"/>
        <v>0.44534027477672145</v>
      </c>
      <c r="AL48" s="35">
        <f t="shared" si="14"/>
        <v>1.7773609806801596</v>
      </c>
      <c r="AM48" s="15">
        <f t="shared" si="15"/>
        <v>0.44534027477672145</v>
      </c>
      <c r="AN48" s="15">
        <f t="shared" si="16"/>
        <v>1.7450465486079272</v>
      </c>
      <c r="AO48" s="29">
        <f t="shared" si="17"/>
        <v>0.4948339635551715</v>
      </c>
      <c r="AP48" s="16">
        <f t="shared" si="18"/>
        <v>1.5188371220138783</v>
      </c>
      <c r="AT48" s="71" t="str">
        <f>+'Input Data'!I51</f>
        <v>Wet_Bench(I)</v>
      </c>
      <c r="AU48" s="93">
        <f>+(O48+P48/2)*'Input Data'!$E$37</f>
        <v>19.510520384210167</v>
      </c>
      <c r="AV48" s="23">
        <f>+(Q48+R48/2)*'Input Data'!$E$37</f>
        <v>20.01031147675202</v>
      </c>
      <c r="AW48" s="86">
        <f>+(S48+T48/2)*'Input Data'!$E$37</f>
        <v>19.767953236210275</v>
      </c>
      <c r="AX48" s="24">
        <f>+(U48+V48/2)*'Input Data'!$E$37</f>
        <v>18.813787868431657</v>
      </c>
      <c r="BA48" s="91" t="str">
        <f>+'Input Data'!I51</f>
        <v>Wet_Bench(I)</v>
      </c>
      <c r="BB48" s="31">
        <f>+('Input Data'!$C$37/'Input Data'!$B$37+'Input Data'!$D$37)*AU48</f>
        <v>1112.0996618999795</v>
      </c>
      <c r="BC48" s="31">
        <f>+('Input Data'!$C$37/'Input Data'!$B$37+'Input Data'!$D$37)*AV48</f>
        <v>1140.587754174865</v>
      </c>
      <c r="BD48" s="31">
        <f>+('Input Data'!$C$37/'Input Data'!$B$37+'Input Data'!$D$37)*AW48</f>
        <v>1126.7733344639857</v>
      </c>
      <c r="BE48" s="31">
        <f>+('Input Data'!$C$37/'Input Data'!$B$37+'Input Data'!$D$37)*AX48</f>
        <v>1072.3859085006045</v>
      </c>
      <c r="BF48" s="14">
        <f>+('Input Data'!$C$34/'Input Data'!$B$34+'Input Data'!$D$34)*'Input Data'!P51</f>
        <v>157500</v>
      </c>
      <c r="BG48" s="14">
        <f>+('Input Data'!$C$35/'Input Data'!$B$35+'Input Data'!$D$35)*'Input Data'!$Q51</f>
        <v>114000</v>
      </c>
      <c r="BI48" s="91" t="str">
        <f>+'Input Data'!I51</f>
        <v>Wet_Bench(I)</v>
      </c>
      <c r="BJ48" s="31">
        <f t="shared" si="19"/>
        <v>10510.886271703424</v>
      </c>
      <c r="BK48" s="31">
        <f t="shared" si="20"/>
        <v>10780.138307521456</v>
      </c>
      <c r="BL48" s="31">
        <f t="shared" si="21"/>
        <v>10649.572856001978</v>
      </c>
      <c r="BM48" s="31">
        <f t="shared" si="22"/>
        <v>10135.53614823504</v>
      </c>
      <c r="BN48" s="75">
        <f t="shared" si="23"/>
        <v>1488593.7335553109</v>
      </c>
      <c r="BO48" s="24">
        <f t="shared" si="24"/>
        <v>1077458.3214305106</v>
      </c>
      <c r="BQ48" s="91" t="str">
        <f>+'Input Data'!I51</f>
        <v>Wet_Bench(I)</v>
      </c>
      <c r="BR48" s="31">
        <f t="shared" si="25"/>
        <v>11120.996618999796</v>
      </c>
      <c r="BS48" s="31">
        <f t="shared" si="26"/>
        <v>11405.87754174865</v>
      </c>
      <c r="BT48" s="31">
        <f t="shared" si="27"/>
        <v>11267.733344639857</v>
      </c>
      <c r="BU48" s="31">
        <f t="shared" si="28"/>
        <v>10723.859085006045</v>
      </c>
      <c r="BV48" s="75">
        <f t="shared" si="29"/>
        <v>1575000</v>
      </c>
      <c r="BW48" s="24">
        <f t="shared" si="30"/>
        <v>1140000</v>
      </c>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row>
    <row r="49" spans="6:138" ht="12.75">
      <c r="F49" s="10"/>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row>
    <row r="50" spans="5:138" ht="12.75">
      <c r="E50" t="s">
        <v>79</v>
      </c>
      <c r="F50" s="3">
        <f>SUM(F6:F48)</f>
        <v>273.71929262472605</v>
      </c>
      <c r="G50" s="4">
        <f>SUM(G6:G49)</f>
        <v>296</v>
      </c>
      <c r="H50" s="3">
        <f>SUM(H6:H48)</f>
        <v>176.29480321094516</v>
      </c>
      <c r="I50" s="3">
        <f>SUM(I6:I48)</f>
        <v>45.70606009172652</v>
      </c>
      <c r="J50" s="3">
        <f>SUM(J6:J48)</f>
        <v>191.59199999999996</v>
      </c>
      <c r="K50" s="3">
        <f>SUM(K6:K48)</f>
        <v>49.672000000000004</v>
      </c>
      <c r="X50" t="s">
        <v>121</v>
      </c>
      <c r="Y50" s="3">
        <f aca="true" t="shared" si="31" ref="Y50:AF50">SUM(Y3:Y48)</f>
        <v>83.9807033177679</v>
      </c>
      <c r="Z50" s="3">
        <f t="shared" si="31"/>
        <v>175.96162846923934</v>
      </c>
      <c r="AA50" s="3">
        <f t="shared" si="31"/>
        <v>89.75949966994493</v>
      </c>
      <c r="AB50" s="3">
        <f t="shared" si="31"/>
        <v>184.1451167125192</v>
      </c>
      <c r="AC50" s="3">
        <f t="shared" si="31"/>
        <v>92.00949966994493</v>
      </c>
      <c r="AD50" s="3">
        <f t="shared" si="31"/>
        <v>200.07888218786465</v>
      </c>
      <c r="AE50" s="3">
        <f t="shared" si="31"/>
        <v>96.53862852247356</v>
      </c>
      <c r="AF50" s="3">
        <f t="shared" si="31"/>
        <v>204.36496328321812</v>
      </c>
      <c r="AH50" t="s">
        <v>121</v>
      </c>
      <c r="AI50" s="3">
        <f aca="true" t="shared" si="32" ref="AI50:AP50">SUM(AI3:AI48)</f>
        <v>84.67572086214345</v>
      </c>
      <c r="AJ50" s="3">
        <f t="shared" si="32"/>
        <v>180.91603498364506</v>
      </c>
      <c r="AK50" s="3">
        <f t="shared" si="32"/>
        <v>90.54139158383747</v>
      </c>
      <c r="AL50" s="3">
        <f t="shared" si="32"/>
        <v>189.01103237630434</v>
      </c>
      <c r="AM50" s="3">
        <f t="shared" si="32"/>
        <v>92.79139158383747</v>
      </c>
      <c r="AN50" s="3">
        <f t="shared" si="32"/>
        <v>204.85633000358987</v>
      </c>
      <c r="AO50" s="3">
        <f t="shared" si="32"/>
        <v>97.40741739412266</v>
      </c>
      <c r="AP50" s="3">
        <f t="shared" si="32"/>
        <v>208.52311315996252</v>
      </c>
      <c r="BI50" t="s">
        <v>154</v>
      </c>
      <c r="BJ50" s="3">
        <f aca="true" t="shared" si="33" ref="BJ50:BO50">SUM(BJ3:BJ48)</f>
        <v>1720230.2250729138</v>
      </c>
      <c r="BK50" s="3">
        <f t="shared" si="33"/>
        <v>1796671.8461240488</v>
      </c>
      <c r="BL50" s="3">
        <f t="shared" si="33"/>
        <v>1878725.193531151</v>
      </c>
      <c r="BM50" s="3">
        <f t="shared" si="33"/>
        <v>1923930.491902906</v>
      </c>
      <c r="BN50" s="3">
        <f t="shared" si="33"/>
        <v>29926480.589836553</v>
      </c>
      <c r="BO50" s="3">
        <f t="shared" si="33"/>
        <v>21661071.665024556</v>
      </c>
      <c r="BQ50" t="s">
        <v>155</v>
      </c>
      <c r="BR50" s="3">
        <f aca="true" t="shared" si="34" ref="BR50:BW50">SUM(BR3:BR48)</f>
        <v>1747352.7129264104</v>
      </c>
      <c r="BS50" s="3">
        <f t="shared" si="34"/>
        <v>1824158.811450512</v>
      </c>
      <c r="BT50" s="3">
        <f t="shared" si="34"/>
        <v>1905833.9588071578</v>
      </c>
      <c r="BU50" s="3">
        <f t="shared" si="34"/>
        <v>1949134.7274785882</v>
      </c>
      <c r="BV50" s="3">
        <f t="shared" si="34"/>
        <v>32596200</v>
      </c>
      <c r="BW50" s="3">
        <f t="shared" si="34"/>
        <v>23593440</v>
      </c>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row>
    <row r="51" spans="61:138" ht="13.5" thickBot="1">
      <c r="BI51" t="s">
        <v>135</v>
      </c>
      <c r="BN51" s="3">
        <f>+BN50+BO50</f>
        <v>51587552.25486111</v>
      </c>
      <c r="BQ51" t="s">
        <v>135</v>
      </c>
      <c r="BV51" s="3">
        <f>+BV50+BW50</f>
        <v>56189640</v>
      </c>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row>
    <row r="52" spans="6:138" ht="13.5" thickBot="1">
      <c r="F52" s="174" t="s">
        <v>140</v>
      </c>
      <c r="G52" s="175"/>
      <c r="H52" s="175"/>
      <c r="I52" s="175"/>
      <c r="J52" s="175"/>
      <c r="K52" s="176"/>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row>
    <row r="53" spans="6:138" ht="13.5" thickBot="1">
      <c r="F53" s="177"/>
      <c r="G53" s="178"/>
      <c r="H53" s="174" t="s">
        <v>138</v>
      </c>
      <c r="I53" s="176"/>
      <c r="J53" s="174" t="s">
        <v>139</v>
      </c>
      <c r="K53" s="176"/>
      <c r="BI53" s="174" t="s">
        <v>156</v>
      </c>
      <c r="BJ53" s="180" t="s">
        <v>218</v>
      </c>
      <c r="BK53" s="180" t="s">
        <v>219</v>
      </c>
      <c r="BL53" s="217" t="s">
        <v>220</v>
      </c>
      <c r="BM53" s="180" t="s">
        <v>221</v>
      </c>
      <c r="BQ53" s="174" t="s">
        <v>156</v>
      </c>
      <c r="BR53" s="180" t="s">
        <v>218</v>
      </c>
      <c r="BS53" s="180" t="s">
        <v>219</v>
      </c>
      <c r="BT53" s="217" t="s">
        <v>220</v>
      </c>
      <c r="BU53" s="180" t="s">
        <v>221</v>
      </c>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row>
    <row r="54" spans="6:73" ht="13.5" thickBot="1">
      <c r="F54" s="177"/>
      <c r="G54" s="178"/>
      <c r="H54" s="179" t="s">
        <v>141</v>
      </c>
      <c r="I54" s="180" t="s">
        <v>142</v>
      </c>
      <c r="J54" s="179" t="s">
        <v>141</v>
      </c>
      <c r="K54" s="180" t="s">
        <v>142</v>
      </c>
      <c r="BI54" s="174" t="s">
        <v>138</v>
      </c>
      <c r="BJ54" s="174"/>
      <c r="BK54" s="185"/>
      <c r="BL54" s="175"/>
      <c r="BM54" s="185"/>
      <c r="BQ54" s="174" t="s">
        <v>158</v>
      </c>
      <c r="BR54" s="185"/>
      <c r="BS54" s="185"/>
      <c r="BT54" s="185"/>
      <c r="BU54" s="185"/>
    </row>
    <row r="55" spans="6:73" ht="13.5" thickBot="1">
      <c r="F55" s="181"/>
      <c r="G55" s="182" t="s">
        <v>91</v>
      </c>
      <c r="H55" s="183">
        <f>+H50/'Input Data'!$C$57/12*1000000</f>
        <v>587.6493440364839</v>
      </c>
      <c r="I55" s="184">
        <f>+I50/'Input Data'!$C$57/12*1000000</f>
        <v>152.3535336390884</v>
      </c>
      <c r="J55" s="183">
        <f>+J50/'Input Data'!$C$57/12*1000000</f>
        <v>638.6399999999999</v>
      </c>
      <c r="K55" s="184">
        <f>+K50/'Input Data'!$C$57/12*1000000</f>
        <v>165.57333333333338</v>
      </c>
      <c r="BI55" s="177" t="s">
        <v>102</v>
      </c>
      <c r="BJ55" s="177">
        <f>+$BN$51/WS/12/LY</f>
        <v>175.46786481245275</v>
      </c>
      <c r="BK55" s="177">
        <f>+$BN$51/WS/12/LY</f>
        <v>175.46786481245275</v>
      </c>
      <c r="BL55" s="177">
        <f>+$BN$51/WS/12/LY</f>
        <v>175.46786481245275</v>
      </c>
      <c r="BM55" s="177">
        <f>+$BN$51/WS/12/LY</f>
        <v>175.46786481245275</v>
      </c>
      <c r="BQ55" s="177" t="s">
        <v>102</v>
      </c>
      <c r="BR55" s="191">
        <f>+$BV$51/WS/12/LY</f>
        <v>191.12122448979594</v>
      </c>
      <c r="BS55" s="191">
        <f>+$BV$51/WS/12/LY</f>
        <v>191.12122448979594</v>
      </c>
      <c r="BT55" s="191">
        <f>+$BV$51/WS/12/LY</f>
        <v>191.12122448979594</v>
      </c>
      <c r="BU55" s="191">
        <f>+$BV$51/WS/12/LY</f>
        <v>191.12122448979594</v>
      </c>
    </row>
    <row r="56" spans="61:73" ht="13.5" thickBot="1">
      <c r="BI56" s="177" t="s">
        <v>103</v>
      </c>
      <c r="BJ56" s="177">
        <f>+BJ50/WS/12/LY</f>
        <v>5.85112321453372</v>
      </c>
      <c r="BK56" s="177">
        <f>+BK50/WS/12/LY</f>
        <v>6.1111287283130915</v>
      </c>
      <c r="BL56" s="177">
        <f>+BL50/WS/12/LY</f>
        <v>6.3902217467045945</v>
      </c>
      <c r="BM56" s="177">
        <f>+BM50/WS/12/LY</f>
        <v>6.54398126497587</v>
      </c>
      <c r="BQ56" s="177" t="s">
        <v>103</v>
      </c>
      <c r="BR56" s="191">
        <f>+BR50/WS/12/LY</f>
        <v>5.943376574579627</v>
      </c>
      <c r="BS56" s="191">
        <f>+BS50/WS/12/LY</f>
        <v>6.204621807654803</v>
      </c>
      <c r="BT56" s="191">
        <f>+BT50/WS/12/LY</f>
        <v>6.482428431316864</v>
      </c>
      <c r="BU56" s="191">
        <f>+BU50/WS/12/LY</f>
        <v>6.629709957410165</v>
      </c>
    </row>
    <row r="57" spans="19:73" ht="13.5" thickBot="1">
      <c r="S57" s="19"/>
      <c r="T57" s="38" t="s">
        <v>128</v>
      </c>
      <c r="U57" s="17"/>
      <c r="V57" s="17"/>
      <c r="W57" s="18"/>
      <c r="Y57" s="19" t="s">
        <v>129</v>
      </c>
      <c r="Z57" s="17"/>
      <c r="AA57" s="17"/>
      <c r="AB57" s="17"/>
      <c r="AC57" s="18"/>
      <c r="AE57" s="19" t="s">
        <v>131</v>
      </c>
      <c r="AF57" s="17"/>
      <c r="AG57" s="17"/>
      <c r="AH57" s="17"/>
      <c r="AI57" s="18"/>
      <c r="AK57" s="19" t="s">
        <v>133</v>
      </c>
      <c r="AL57" s="17"/>
      <c r="AM57" s="17"/>
      <c r="AN57" s="17"/>
      <c r="AO57" s="17"/>
      <c r="AP57" s="18"/>
      <c r="BI57" s="179" t="s">
        <v>157</v>
      </c>
      <c r="BJ57" s="179">
        <f>SUM(BJ55:BJ56)</f>
        <v>181.31898802698646</v>
      </c>
      <c r="BK57" s="180">
        <f>SUM(BK55:BK56)</f>
        <v>181.57899354076585</v>
      </c>
      <c r="BL57" s="188">
        <f>SUM(BL55:BL56)</f>
        <v>181.85808655915733</v>
      </c>
      <c r="BM57" s="180">
        <f>SUM(BM55:BM56)</f>
        <v>182.01184607742863</v>
      </c>
      <c r="BQ57" s="179" t="s">
        <v>157</v>
      </c>
      <c r="BR57" s="180">
        <f>SUM(BR55:BR56)</f>
        <v>197.06460106437555</v>
      </c>
      <c r="BS57" s="188">
        <f>SUM(BS55:BS56)</f>
        <v>197.32584629745074</v>
      </c>
      <c r="BT57" s="180">
        <f>SUM(BT55:BT56)</f>
        <v>197.6036529211128</v>
      </c>
      <c r="BU57" s="193">
        <f>SUM(BU55:BU56)</f>
        <v>197.7509344472061</v>
      </c>
    </row>
    <row r="58" spans="19:42" ht="12.75">
      <c r="S58" s="39" t="s">
        <v>124</v>
      </c>
      <c r="T58" s="40" t="str">
        <f>+'Input Data'!A24</f>
        <v>Operator</v>
      </c>
      <c r="U58" s="56" t="str">
        <f>+'Input Data'!A25</f>
        <v>Supervisor</v>
      </c>
      <c r="V58" s="42" t="str">
        <f>+'Input Data'!A26</f>
        <v>Manager</v>
      </c>
      <c r="W58" s="57" t="str">
        <f>+'Input Data'!A27</f>
        <v>Overhead staff</v>
      </c>
      <c r="Y58" s="44" t="s">
        <v>81</v>
      </c>
      <c r="Z58" s="40" t="s">
        <v>82</v>
      </c>
      <c r="AA58" s="47" t="s">
        <v>83</v>
      </c>
      <c r="AB58" s="47" t="s">
        <v>84</v>
      </c>
      <c r="AC58" s="48" t="s">
        <v>85</v>
      </c>
      <c r="AE58" s="39" t="s">
        <v>81</v>
      </c>
      <c r="AF58" s="40" t="s">
        <v>218</v>
      </c>
      <c r="AG58" s="42" t="s">
        <v>219</v>
      </c>
      <c r="AH58" s="42" t="s">
        <v>220</v>
      </c>
      <c r="AI58" s="43" t="s">
        <v>221</v>
      </c>
      <c r="AK58" s="39" t="s">
        <v>81</v>
      </c>
      <c r="AL58" s="78" t="s">
        <v>134</v>
      </c>
      <c r="AM58" s="40" t="s">
        <v>218</v>
      </c>
      <c r="AN58" s="42" t="s">
        <v>219</v>
      </c>
      <c r="AO58" s="42" t="s">
        <v>220</v>
      </c>
      <c r="AP58" s="43" t="s">
        <v>221</v>
      </c>
    </row>
    <row r="59" spans="19:42" ht="12.75">
      <c r="S59" s="12" t="s">
        <v>76</v>
      </c>
      <c r="T59" s="349">
        <v>273</v>
      </c>
      <c r="U59" s="360">
        <v>16</v>
      </c>
      <c r="V59" s="83">
        <v>15</v>
      </c>
      <c r="W59" s="361">
        <v>8</v>
      </c>
      <c r="Y59" s="12" t="str">
        <f>+'Input Data'!A24</f>
        <v>Operator</v>
      </c>
      <c r="Z59" s="67">
        <f>+T61</f>
        <v>510.5</v>
      </c>
      <c r="AA59" s="2">
        <f>+T67</f>
        <v>410</v>
      </c>
      <c r="AB59" s="2">
        <f>+T73</f>
        <v>366</v>
      </c>
      <c r="AC59" s="50">
        <f>+T79</f>
        <v>285</v>
      </c>
      <c r="AE59" s="12" t="str">
        <f>+'Input Data'!A24</f>
        <v>Operator</v>
      </c>
      <c r="AF59" s="67">
        <f aca="true" t="shared" si="35" ref="AF59:AI64">+ROUNDUP(Z59,0)</f>
        <v>511</v>
      </c>
      <c r="AG59" s="2">
        <f t="shared" si="35"/>
        <v>410</v>
      </c>
      <c r="AH59" s="2">
        <f t="shared" si="35"/>
        <v>366</v>
      </c>
      <c r="AI59" s="50">
        <f t="shared" si="35"/>
        <v>285</v>
      </c>
      <c r="AK59" s="12" t="str">
        <f>+'Input Data'!A24</f>
        <v>Operator</v>
      </c>
      <c r="AL59" s="77">
        <f>+'Input Data'!B24</f>
        <v>60000</v>
      </c>
      <c r="AM59" s="7">
        <f>+AF59*'Input Data'!$B24</f>
        <v>30660000</v>
      </c>
      <c r="AN59" s="7">
        <f>+AG59*'Input Data'!$B24</f>
        <v>24600000</v>
      </c>
      <c r="AO59" s="7">
        <f>+AH59*'Input Data'!$B24</f>
        <v>21960000</v>
      </c>
      <c r="AP59" s="13">
        <f>+AI59*'Input Data'!$B24</f>
        <v>17100000</v>
      </c>
    </row>
    <row r="60" spans="19:42" ht="12.75">
      <c r="S60" s="12" t="s">
        <v>80</v>
      </c>
      <c r="T60" s="349">
        <v>0.0095</v>
      </c>
      <c r="U60" s="360">
        <v>0.00057</v>
      </c>
      <c r="V60" s="83"/>
      <c r="W60" s="362">
        <v>0.0002494</v>
      </c>
      <c r="X60" s="7"/>
      <c r="Y60" s="12" t="str">
        <f>+'Input Data'!A25</f>
        <v>Supervisor</v>
      </c>
      <c r="Z60" s="67">
        <f>+U61</f>
        <v>30.25</v>
      </c>
      <c r="AA60" s="2">
        <f>+U67</f>
        <v>24.5</v>
      </c>
      <c r="AB60" s="2">
        <f>+U73</f>
        <v>22.25</v>
      </c>
      <c r="AC60" s="50">
        <f>+U79</f>
        <v>17</v>
      </c>
      <c r="AE60" s="12" t="str">
        <f>+'Input Data'!A25</f>
        <v>Supervisor</v>
      </c>
      <c r="AF60" s="67">
        <f t="shared" si="35"/>
        <v>31</v>
      </c>
      <c r="AG60" s="2">
        <f t="shared" si="35"/>
        <v>25</v>
      </c>
      <c r="AH60" s="2">
        <f t="shared" si="35"/>
        <v>23</v>
      </c>
      <c r="AI60" s="50">
        <f t="shared" si="35"/>
        <v>17</v>
      </c>
      <c r="AK60" s="12" t="str">
        <f>+'Input Data'!A25</f>
        <v>Supervisor</v>
      </c>
      <c r="AL60" s="77">
        <f>+'Input Data'!B25</f>
        <v>80000</v>
      </c>
      <c r="AM60" s="7">
        <f>+AF60*'Input Data'!$B25</f>
        <v>2480000</v>
      </c>
      <c r="AN60" s="7">
        <f>+AG60*'Input Data'!$B25</f>
        <v>2000000</v>
      </c>
      <c r="AO60" s="7">
        <f>+AH60*'Input Data'!$B25</f>
        <v>1840000</v>
      </c>
      <c r="AP60" s="13">
        <f>+AI60*'Input Data'!$B25</f>
        <v>1360000</v>
      </c>
    </row>
    <row r="61" spans="19:42" ht="13.5" thickBot="1">
      <c r="S61" s="58" t="s">
        <v>123</v>
      </c>
      <c r="T61" s="59">
        <f>+T59+T60*'Input Data'!$C$57</f>
        <v>510.5</v>
      </c>
      <c r="U61" s="60">
        <f>+U59+U60*'Input Data'!$C$57</f>
        <v>30.25</v>
      </c>
      <c r="V61" s="61">
        <f>+V59+V60*'Input Data'!$C$57</f>
        <v>15</v>
      </c>
      <c r="W61" s="64">
        <f>+W59+W60*'Input Data'!$C$57</f>
        <v>14.235</v>
      </c>
      <c r="Y61" s="12" t="str">
        <f>+'Input Data'!A26</f>
        <v>Manager</v>
      </c>
      <c r="Z61" s="67">
        <f>+V61</f>
        <v>15</v>
      </c>
      <c r="AA61" s="2">
        <f>+V67</f>
        <v>15</v>
      </c>
      <c r="AB61" s="2">
        <f>+V73</f>
        <v>15</v>
      </c>
      <c r="AC61" s="50">
        <f>+V79</f>
        <v>15</v>
      </c>
      <c r="AE61" s="12" t="str">
        <f>+'Input Data'!A26</f>
        <v>Manager</v>
      </c>
      <c r="AF61" s="67">
        <f t="shared" si="35"/>
        <v>15</v>
      </c>
      <c r="AG61" s="2">
        <f t="shared" si="35"/>
        <v>15</v>
      </c>
      <c r="AH61" s="2">
        <f t="shared" si="35"/>
        <v>15</v>
      </c>
      <c r="AI61" s="50">
        <f t="shared" si="35"/>
        <v>15</v>
      </c>
      <c r="AK61" s="12" t="str">
        <f>+'Input Data'!A26</f>
        <v>Manager</v>
      </c>
      <c r="AL61" s="77">
        <f>+'Input Data'!B26</f>
        <v>125000</v>
      </c>
      <c r="AM61" s="7">
        <f>+AF61*'Input Data'!$B26</f>
        <v>1875000</v>
      </c>
      <c r="AN61" s="7">
        <f>+AG61*'Input Data'!$B26</f>
        <v>1875000</v>
      </c>
      <c r="AO61" s="7">
        <f>+AH61*'Input Data'!$B26</f>
        <v>1875000</v>
      </c>
      <c r="AP61" s="13">
        <f>+AI61*'Input Data'!$B26</f>
        <v>1875000</v>
      </c>
    </row>
    <row r="62" spans="19:42" ht="12.75">
      <c r="S62" s="7"/>
      <c r="T62" s="7"/>
      <c r="U62" s="7"/>
      <c r="V62" s="7"/>
      <c r="Y62" s="12" t="str">
        <f>+'Input Data'!A27</f>
        <v>Overhead staff</v>
      </c>
      <c r="Z62" s="67">
        <f>+W61</f>
        <v>14.235</v>
      </c>
      <c r="AA62" s="2">
        <f>+W67</f>
        <v>13.305</v>
      </c>
      <c r="AB62" s="2">
        <f>+W73</f>
        <v>12.684999999999999</v>
      </c>
      <c r="AC62" s="50">
        <f>+W79</f>
        <v>11.3</v>
      </c>
      <c r="AE62" s="12" t="str">
        <f>+'Input Data'!A27</f>
        <v>Overhead staff</v>
      </c>
      <c r="AF62" s="67">
        <f t="shared" si="35"/>
        <v>15</v>
      </c>
      <c r="AG62" s="2">
        <f t="shared" si="35"/>
        <v>14</v>
      </c>
      <c r="AH62" s="2">
        <f t="shared" si="35"/>
        <v>13</v>
      </c>
      <c r="AI62" s="50">
        <f t="shared" si="35"/>
        <v>12</v>
      </c>
      <c r="AK62" s="12" t="str">
        <f>+'Input Data'!A27</f>
        <v>Overhead staff</v>
      </c>
      <c r="AL62" s="77">
        <f>+'Input Data'!B27</f>
        <v>70000</v>
      </c>
      <c r="AM62" s="7">
        <f>+AF62*'Input Data'!$B27</f>
        <v>1050000</v>
      </c>
      <c r="AN62" s="7">
        <f>+AG62*'Input Data'!$B27</f>
        <v>980000</v>
      </c>
      <c r="AO62" s="7">
        <f>+AH62*'Input Data'!$B27</f>
        <v>910000</v>
      </c>
      <c r="AP62" s="13">
        <f>+AI62*'Input Data'!$B27</f>
        <v>840000</v>
      </c>
    </row>
    <row r="63" spans="19:42" ht="13.5" thickBot="1">
      <c r="S63" s="7"/>
      <c r="T63" s="7"/>
      <c r="U63" s="7"/>
      <c r="V63" s="7"/>
      <c r="Y63" s="12" t="str">
        <f>+'Input Data'!A28</f>
        <v>Engineer</v>
      </c>
      <c r="Z63" s="67">
        <f>+Y50</f>
        <v>83.9807033177679</v>
      </c>
      <c r="AA63" s="2">
        <f>+AA50</f>
        <v>89.75949966994493</v>
      </c>
      <c r="AB63" s="2">
        <f>+AC50</f>
        <v>92.00949966994493</v>
      </c>
      <c r="AC63" s="50">
        <f>+AE50</f>
        <v>96.53862852247356</v>
      </c>
      <c r="AE63" s="12" t="str">
        <f>+'Input Data'!A28</f>
        <v>Engineer</v>
      </c>
      <c r="AF63" s="67">
        <f t="shared" si="35"/>
        <v>84</v>
      </c>
      <c r="AG63" s="2">
        <f t="shared" si="35"/>
        <v>90</v>
      </c>
      <c r="AH63" s="2">
        <f t="shared" si="35"/>
        <v>93</v>
      </c>
      <c r="AI63" s="50">
        <f t="shared" si="35"/>
        <v>97</v>
      </c>
      <c r="AK63" s="12" t="str">
        <f>+'Input Data'!A28</f>
        <v>Engineer</v>
      </c>
      <c r="AL63" s="77">
        <f>+'Input Data'!B28</f>
        <v>125000</v>
      </c>
      <c r="AM63" s="7">
        <f>+AF63*'Input Data'!$B28</f>
        <v>10500000</v>
      </c>
      <c r="AN63" s="7">
        <f>+AG63*'Input Data'!$B28</f>
        <v>11250000</v>
      </c>
      <c r="AO63" s="7">
        <f>+AH63*'Input Data'!$B28</f>
        <v>11625000</v>
      </c>
      <c r="AP63" s="13">
        <f>+AI63*'Input Data'!$B28</f>
        <v>12125000</v>
      </c>
    </row>
    <row r="64" spans="19:42" ht="13.5" thickBot="1">
      <c r="S64" s="26" t="s">
        <v>125</v>
      </c>
      <c r="T64" s="28" t="str">
        <f>+'Input Data'!A24</f>
        <v>Operator</v>
      </c>
      <c r="U64" s="51" t="str">
        <f>+'Input Data'!A25</f>
        <v>Supervisor</v>
      </c>
      <c r="V64" s="10" t="str">
        <f>+'Input Data'!A26</f>
        <v>Manager</v>
      </c>
      <c r="W64" s="54" t="str">
        <f>+'Input Data'!A27</f>
        <v>Overhead staff</v>
      </c>
      <c r="Y64" s="91" t="str">
        <f>+'Input Data'!A29</f>
        <v>Technicians</v>
      </c>
      <c r="Z64" s="68">
        <f>+Z50</f>
        <v>175.96162846923934</v>
      </c>
      <c r="AA64" s="27">
        <f>+AB50</f>
        <v>184.1451167125192</v>
      </c>
      <c r="AB64" s="27">
        <f>+AD50</f>
        <v>200.07888218786465</v>
      </c>
      <c r="AC64" s="66">
        <f>+AF50</f>
        <v>204.36496328321812</v>
      </c>
      <c r="AE64" s="91" t="str">
        <f>+'Input Data'!A29</f>
        <v>Technicians</v>
      </c>
      <c r="AF64" s="68">
        <f t="shared" si="35"/>
        <v>176</v>
      </c>
      <c r="AG64" s="27">
        <f t="shared" si="35"/>
        <v>185</v>
      </c>
      <c r="AH64" s="27">
        <f t="shared" si="35"/>
        <v>201</v>
      </c>
      <c r="AI64" s="66">
        <f t="shared" si="35"/>
        <v>205</v>
      </c>
      <c r="AK64" s="12" t="str">
        <f>+'Input Data'!A29</f>
        <v>Technicians</v>
      </c>
      <c r="AL64" s="77">
        <f>+'Input Data'!B29</f>
        <v>70000</v>
      </c>
      <c r="AM64" s="15">
        <f>+AF64*'Input Data'!$B29</f>
        <v>12320000</v>
      </c>
      <c r="AN64" s="15">
        <f>+AG64*'Input Data'!$B29</f>
        <v>12950000</v>
      </c>
      <c r="AO64" s="15">
        <f>+AH64*'Input Data'!$B29</f>
        <v>14070000</v>
      </c>
      <c r="AP64" s="16">
        <f>+AI64*'Input Data'!$B29</f>
        <v>14350000</v>
      </c>
    </row>
    <row r="65" spans="19:42" ht="12.75">
      <c r="S65" s="62" t="s">
        <v>76</v>
      </c>
      <c r="T65" s="363">
        <v>220</v>
      </c>
      <c r="U65" s="364">
        <v>13</v>
      </c>
      <c r="V65" s="365">
        <v>15</v>
      </c>
      <c r="W65" s="366">
        <v>8</v>
      </c>
      <c r="AE65" s="7"/>
      <c r="AF65" s="7"/>
      <c r="AG65" s="7"/>
      <c r="AH65" s="7"/>
      <c r="AI65" s="7"/>
      <c r="AK65" s="26" t="s">
        <v>135</v>
      </c>
      <c r="AL65" s="10"/>
      <c r="AM65" s="10">
        <f>+AM59+AM60+AM64</f>
        <v>45460000</v>
      </c>
      <c r="AN65" s="10">
        <f>+AN59+AN60+AN64</f>
        <v>39550000</v>
      </c>
      <c r="AO65" s="10">
        <f>+AO59+AO60+AO64</f>
        <v>37870000</v>
      </c>
      <c r="AP65" s="11">
        <f>+AP59+AP60+AP64</f>
        <v>32810000</v>
      </c>
    </row>
    <row r="66" spans="19:42" ht="12.75">
      <c r="S66" s="25" t="s">
        <v>80</v>
      </c>
      <c r="T66" s="367">
        <v>0.0076</v>
      </c>
      <c r="U66" s="368">
        <v>0.00046</v>
      </c>
      <c r="V66" s="369"/>
      <c r="W66" s="370">
        <v>0.0002122</v>
      </c>
      <c r="AK66" s="12" t="s">
        <v>136</v>
      </c>
      <c r="AL66" s="7"/>
      <c r="AM66" s="7">
        <f>+AM61+AM62+AM63</f>
        <v>13425000</v>
      </c>
      <c r="AN66" s="7">
        <f>+AN61+AN62+AN63</f>
        <v>14105000</v>
      </c>
      <c r="AO66" s="7">
        <f>+AO61+AO62+AO63</f>
        <v>14410000</v>
      </c>
      <c r="AP66" s="13">
        <f>+AP61+AP62+AP63</f>
        <v>14840000</v>
      </c>
    </row>
    <row r="67" spans="19:42" ht="13.5" thickBot="1">
      <c r="S67" s="14" t="s">
        <v>123</v>
      </c>
      <c r="T67" s="29">
        <f>+T65+T66*'Input Data'!$C$57</f>
        <v>410</v>
      </c>
      <c r="U67" s="53">
        <f>+U65+U66*'Input Data'!$C$57</f>
        <v>24.5</v>
      </c>
      <c r="V67" s="15">
        <f>+V65+V66*'Input Data'!$C$57</f>
        <v>15</v>
      </c>
      <c r="W67" s="65">
        <f>+W65+W66*'Input Data'!$C$57</f>
        <v>13.305</v>
      </c>
      <c r="AK67" s="14" t="s">
        <v>137</v>
      </c>
      <c r="AL67" s="15"/>
      <c r="AM67" s="15">
        <f>SUM(AM65:AM66)</f>
        <v>58885000</v>
      </c>
      <c r="AN67" s="15">
        <f>SUM(AN65:AN66)</f>
        <v>53655000</v>
      </c>
      <c r="AO67" s="15">
        <f>SUM(AO65:AO66)</f>
        <v>52280000</v>
      </c>
      <c r="AP67" s="16">
        <f>SUM(AP65:AP66)</f>
        <v>47650000</v>
      </c>
    </row>
    <row r="68" spans="19:22" ht="13.5" thickBot="1">
      <c r="S68" s="7"/>
      <c r="T68" s="7"/>
      <c r="U68" s="7"/>
      <c r="V68" s="7"/>
    </row>
    <row r="69" spans="19:42" ht="13.5" thickBot="1">
      <c r="S69" s="7"/>
      <c r="T69" s="7"/>
      <c r="U69" s="7"/>
      <c r="V69" s="7"/>
      <c r="Y69" s="19" t="s">
        <v>130</v>
      </c>
      <c r="Z69" s="17"/>
      <c r="AA69" s="17"/>
      <c r="AB69" s="17"/>
      <c r="AC69" s="18"/>
      <c r="AE69" s="19" t="s">
        <v>132</v>
      </c>
      <c r="AF69" s="17"/>
      <c r="AG69" s="17"/>
      <c r="AH69" s="17"/>
      <c r="AI69" s="18"/>
      <c r="AK69" s="19" t="s">
        <v>133</v>
      </c>
      <c r="AL69" s="17"/>
      <c r="AM69" s="17"/>
      <c r="AN69" s="17"/>
      <c r="AO69" s="17"/>
      <c r="AP69" s="18"/>
    </row>
    <row r="70" spans="19:42" ht="12.75">
      <c r="S70" s="26" t="s">
        <v>126</v>
      </c>
      <c r="T70" s="28" t="str">
        <f>+'Input Data'!A24</f>
        <v>Operator</v>
      </c>
      <c r="U70" s="51" t="str">
        <f>+'Input Data'!A25</f>
        <v>Supervisor</v>
      </c>
      <c r="V70" s="10" t="str">
        <f>+'Input Data'!A26</f>
        <v>Manager</v>
      </c>
      <c r="W70" s="54" t="str">
        <f>+'Input Data'!A27</f>
        <v>Overhead staff</v>
      </c>
      <c r="Y70" s="44" t="s">
        <v>81</v>
      </c>
      <c r="Z70" s="40" t="s">
        <v>82</v>
      </c>
      <c r="AA70" s="47" t="s">
        <v>83</v>
      </c>
      <c r="AB70" s="47" t="s">
        <v>84</v>
      </c>
      <c r="AC70" s="48" t="s">
        <v>85</v>
      </c>
      <c r="AE70" s="39" t="s">
        <v>81</v>
      </c>
      <c r="AF70" s="40" t="s">
        <v>218</v>
      </c>
      <c r="AG70" s="42" t="s">
        <v>219</v>
      </c>
      <c r="AH70" s="42" t="s">
        <v>220</v>
      </c>
      <c r="AI70" s="43" t="s">
        <v>221</v>
      </c>
      <c r="AK70" s="39" t="s">
        <v>81</v>
      </c>
      <c r="AL70" s="63" t="s">
        <v>134</v>
      </c>
      <c r="AM70" s="40" t="s">
        <v>218</v>
      </c>
      <c r="AN70" s="42" t="s">
        <v>219</v>
      </c>
      <c r="AO70" s="42" t="s">
        <v>220</v>
      </c>
      <c r="AP70" s="43" t="s">
        <v>221</v>
      </c>
    </row>
    <row r="71" spans="19:42" ht="12.75">
      <c r="S71" s="62" t="s">
        <v>76</v>
      </c>
      <c r="T71" s="363">
        <v>211</v>
      </c>
      <c r="U71" s="364">
        <v>13</v>
      </c>
      <c r="V71" s="365">
        <v>15</v>
      </c>
      <c r="W71" s="366">
        <v>8</v>
      </c>
      <c r="Y71" s="12" t="str">
        <f>+'Input Data'!A24</f>
        <v>Operator</v>
      </c>
      <c r="Z71" s="67">
        <f>+T61</f>
        <v>510.5</v>
      </c>
      <c r="AA71" s="2">
        <f>+T67</f>
        <v>410</v>
      </c>
      <c r="AB71" s="2">
        <f>+T73</f>
        <v>366</v>
      </c>
      <c r="AC71" s="50">
        <f>+T79</f>
        <v>285</v>
      </c>
      <c r="AE71" s="12" t="str">
        <f>+'Input Data'!A24</f>
        <v>Operator</v>
      </c>
      <c r="AF71" s="67">
        <f aca="true" t="shared" si="36" ref="AF71:AI76">+ROUNDUP(Z71,0)</f>
        <v>511</v>
      </c>
      <c r="AG71" s="2">
        <f t="shared" si="36"/>
        <v>410</v>
      </c>
      <c r="AH71" s="2">
        <f t="shared" si="36"/>
        <v>366</v>
      </c>
      <c r="AI71" s="50">
        <f t="shared" si="36"/>
        <v>285</v>
      </c>
      <c r="AK71" s="12" t="str">
        <f>+'Input Data'!A24</f>
        <v>Operator</v>
      </c>
      <c r="AL71" s="52">
        <f>+'Input Data'!B24</f>
        <v>60000</v>
      </c>
      <c r="AM71" s="7">
        <f aca="true" t="shared" si="37" ref="AM71:AP76">+AF71*$AL71</f>
        <v>30660000</v>
      </c>
      <c r="AN71" s="7">
        <f t="shared" si="37"/>
        <v>24600000</v>
      </c>
      <c r="AO71" s="7">
        <f t="shared" si="37"/>
        <v>21960000</v>
      </c>
      <c r="AP71" s="13">
        <f t="shared" si="37"/>
        <v>17100000</v>
      </c>
    </row>
    <row r="72" spans="19:42" ht="12.75">
      <c r="S72" s="25" t="s">
        <v>80</v>
      </c>
      <c r="T72" s="367">
        <v>0.0062</v>
      </c>
      <c r="U72" s="368">
        <v>0.00037</v>
      </c>
      <c r="V72" s="369"/>
      <c r="W72" s="371">
        <v>0.0001874</v>
      </c>
      <c r="Y72" s="12" t="str">
        <f>+'Input Data'!A25</f>
        <v>Supervisor</v>
      </c>
      <c r="Z72" s="67">
        <f>+U61</f>
        <v>30.25</v>
      </c>
      <c r="AA72" s="2">
        <f>+U67</f>
        <v>24.5</v>
      </c>
      <c r="AB72" s="2">
        <f>+U73</f>
        <v>22.25</v>
      </c>
      <c r="AC72" s="50">
        <f>+U79</f>
        <v>17</v>
      </c>
      <c r="AE72" s="12" t="str">
        <f>+'Input Data'!A25</f>
        <v>Supervisor</v>
      </c>
      <c r="AF72" s="67">
        <f t="shared" si="36"/>
        <v>31</v>
      </c>
      <c r="AG72" s="2">
        <f t="shared" si="36"/>
        <v>25</v>
      </c>
      <c r="AH72" s="2">
        <f t="shared" si="36"/>
        <v>23</v>
      </c>
      <c r="AI72" s="50">
        <f t="shared" si="36"/>
        <v>17</v>
      </c>
      <c r="AK72" s="12" t="str">
        <f>+'Input Data'!A25</f>
        <v>Supervisor</v>
      </c>
      <c r="AL72" s="52">
        <f>+'Input Data'!B25</f>
        <v>80000</v>
      </c>
      <c r="AM72" s="7">
        <f t="shared" si="37"/>
        <v>2480000</v>
      </c>
      <c r="AN72" s="7">
        <f t="shared" si="37"/>
        <v>2000000</v>
      </c>
      <c r="AO72" s="7">
        <f t="shared" si="37"/>
        <v>1840000</v>
      </c>
      <c r="AP72" s="13">
        <f t="shared" si="37"/>
        <v>1360000</v>
      </c>
    </row>
    <row r="73" spans="19:42" ht="13.5" thickBot="1">
      <c r="S73" s="14" t="s">
        <v>123</v>
      </c>
      <c r="T73" s="29">
        <f>+T71+T72*'Input Data'!$C$57</f>
        <v>366</v>
      </c>
      <c r="U73" s="53">
        <f>+U71+U72*'Input Data'!$C$57</f>
        <v>22.25</v>
      </c>
      <c r="V73" s="15">
        <f>+V71+V72*'Input Data'!$C$57</f>
        <v>15</v>
      </c>
      <c r="W73" s="65">
        <f>+W71+W72*'Input Data'!$C$57</f>
        <v>12.684999999999999</v>
      </c>
      <c r="Y73" s="12" t="str">
        <f>+'Input Data'!A26</f>
        <v>Manager</v>
      </c>
      <c r="Z73" s="67">
        <f>+V61</f>
        <v>15</v>
      </c>
      <c r="AA73" s="2">
        <f>+V67</f>
        <v>15</v>
      </c>
      <c r="AB73" s="2">
        <f>+V73</f>
        <v>15</v>
      </c>
      <c r="AC73" s="50">
        <f>+V79</f>
        <v>15</v>
      </c>
      <c r="AE73" s="12" t="str">
        <f>+'Input Data'!A26</f>
        <v>Manager</v>
      </c>
      <c r="AF73" s="67">
        <f t="shared" si="36"/>
        <v>15</v>
      </c>
      <c r="AG73" s="2">
        <f t="shared" si="36"/>
        <v>15</v>
      </c>
      <c r="AH73" s="2">
        <f t="shared" si="36"/>
        <v>15</v>
      </c>
      <c r="AI73" s="50">
        <f t="shared" si="36"/>
        <v>15</v>
      </c>
      <c r="AK73" s="12" t="str">
        <f>+'Input Data'!A26</f>
        <v>Manager</v>
      </c>
      <c r="AL73" s="52">
        <f>+'Input Data'!B26</f>
        <v>125000</v>
      </c>
      <c r="AM73" s="7">
        <f t="shared" si="37"/>
        <v>1875000</v>
      </c>
      <c r="AN73" s="7">
        <f t="shared" si="37"/>
        <v>1875000</v>
      </c>
      <c r="AO73" s="7">
        <f t="shared" si="37"/>
        <v>1875000</v>
      </c>
      <c r="AP73" s="13">
        <f t="shared" si="37"/>
        <v>1875000</v>
      </c>
    </row>
    <row r="74" spans="19:42" ht="12.75">
      <c r="S74" s="7"/>
      <c r="T74" s="7"/>
      <c r="U74" s="7"/>
      <c r="V74" s="7"/>
      <c r="Y74" s="12" t="str">
        <f>+'Input Data'!A27</f>
        <v>Overhead staff</v>
      </c>
      <c r="Z74" s="67">
        <f>+W61</f>
        <v>14.235</v>
      </c>
      <c r="AA74" s="2">
        <f>+W67</f>
        <v>13.305</v>
      </c>
      <c r="AB74" s="2">
        <f>+W73</f>
        <v>12.684999999999999</v>
      </c>
      <c r="AC74" s="50">
        <f>+W79</f>
        <v>11.3</v>
      </c>
      <c r="AE74" s="12" t="str">
        <f>+'Input Data'!A27</f>
        <v>Overhead staff</v>
      </c>
      <c r="AF74" s="67">
        <f t="shared" si="36"/>
        <v>15</v>
      </c>
      <c r="AG74" s="2">
        <f t="shared" si="36"/>
        <v>14</v>
      </c>
      <c r="AH74" s="2">
        <f t="shared" si="36"/>
        <v>13</v>
      </c>
      <c r="AI74" s="50">
        <f t="shared" si="36"/>
        <v>12</v>
      </c>
      <c r="AK74" s="12" t="str">
        <f>+'Input Data'!A27</f>
        <v>Overhead staff</v>
      </c>
      <c r="AL74" s="52">
        <f>+'Input Data'!B27</f>
        <v>70000</v>
      </c>
      <c r="AM74" s="7">
        <f t="shared" si="37"/>
        <v>1050000</v>
      </c>
      <c r="AN74" s="7">
        <f t="shared" si="37"/>
        <v>980000</v>
      </c>
      <c r="AO74" s="7">
        <f t="shared" si="37"/>
        <v>910000</v>
      </c>
      <c r="AP74" s="13">
        <f t="shared" si="37"/>
        <v>840000</v>
      </c>
    </row>
    <row r="75" spans="19:42" ht="13.5" thickBot="1">
      <c r="S75" s="7"/>
      <c r="T75" s="7"/>
      <c r="U75" s="7"/>
      <c r="V75" s="7"/>
      <c r="Y75" s="12" t="str">
        <f>+'Input Data'!A28</f>
        <v>Engineer</v>
      </c>
      <c r="Z75" s="67">
        <f>+AI50</f>
        <v>84.67572086214345</v>
      </c>
      <c r="AA75" s="2">
        <f>+AK50</f>
        <v>90.54139158383747</v>
      </c>
      <c r="AB75" s="2">
        <f>+AM50</f>
        <v>92.79139158383747</v>
      </c>
      <c r="AC75" s="50">
        <f>+AO50</f>
        <v>97.40741739412266</v>
      </c>
      <c r="AE75" s="12" t="str">
        <f>+'Input Data'!A28</f>
        <v>Engineer</v>
      </c>
      <c r="AF75" s="67">
        <f t="shared" si="36"/>
        <v>85</v>
      </c>
      <c r="AG75" s="2">
        <f t="shared" si="36"/>
        <v>91</v>
      </c>
      <c r="AH75" s="2">
        <f t="shared" si="36"/>
        <v>93</v>
      </c>
      <c r="AI75" s="50">
        <f t="shared" si="36"/>
        <v>98</v>
      </c>
      <c r="AK75" s="12" t="str">
        <f>+'Input Data'!A28</f>
        <v>Engineer</v>
      </c>
      <c r="AL75" s="52">
        <v>125000</v>
      </c>
      <c r="AM75" s="7">
        <f t="shared" si="37"/>
        <v>10625000</v>
      </c>
      <c r="AN75" s="7">
        <f t="shared" si="37"/>
        <v>11375000</v>
      </c>
      <c r="AO75" s="7">
        <f t="shared" si="37"/>
        <v>11625000</v>
      </c>
      <c r="AP75" s="13">
        <f t="shared" si="37"/>
        <v>12250000</v>
      </c>
    </row>
    <row r="76" spans="19:42" ht="13.5" thickBot="1">
      <c r="S76" s="26" t="s">
        <v>127</v>
      </c>
      <c r="T76" s="28" t="str">
        <f>+'Input Data'!A24</f>
        <v>Operator</v>
      </c>
      <c r="U76" s="51" t="str">
        <f>+'Input Data'!A25</f>
        <v>Supervisor</v>
      </c>
      <c r="V76" s="10" t="str">
        <f>+'Input Data'!A26</f>
        <v>Manager</v>
      </c>
      <c r="W76" s="54" t="str">
        <f>+'Input Data'!A27</f>
        <v>Overhead staff</v>
      </c>
      <c r="Y76" s="91" t="str">
        <f>+'Input Data'!A29</f>
        <v>Technicians</v>
      </c>
      <c r="Z76" s="68">
        <f>+AJ50</f>
        <v>180.91603498364506</v>
      </c>
      <c r="AA76" s="27">
        <f>+AL50</f>
        <v>189.01103237630434</v>
      </c>
      <c r="AB76" s="27">
        <f>+AN50</f>
        <v>204.85633000358987</v>
      </c>
      <c r="AC76" s="66">
        <f>+AP50</f>
        <v>208.52311315996252</v>
      </c>
      <c r="AE76" s="91" t="str">
        <f>+'Input Data'!A29</f>
        <v>Technicians</v>
      </c>
      <c r="AF76" s="68">
        <f t="shared" si="36"/>
        <v>181</v>
      </c>
      <c r="AG76" s="27">
        <f t="shared" si="36"/>
        <v>190</v>
      </c>
      <c r="AH76" s="27">
        <f t="shared" si="36"/>
        <v>205</v>
      </c>
      <c r="AI76" s="66">
        <f t="shared" si="36"/>
        <v>209</v>
      </c>
      <c r="AK76" s="12" t="str">
        <f>+'Input Data'!A29</f>
        <v>Technicians</v>
      </c>
      <c r="AL76" s="53">
        <v>70000</v>
      </c>
      <c r="AM76" s="15">
        <f t="shared" si="37"/>
        <v>12670000</v>
      </c>
      <c r="AN76" s="15">
        <f t="shared" si="37"/>
        <v>13300000</v>
      </c>
      <c r="AO76" s="15">
        <f t="shared" si="37"/>
        <v>14350000</v>
      </c>
      <c r="AP76" s="16">
        <f t="shared" si="37"/>
        <v>14630000</v>
      </c>
    </row>
    <row r="77" spans="19:42" ht="12.75">
      <c r="S77" s="62" t="s">
        <v>76</v>
      </c>
      <c r="T77" s="363">
        <v>200</v>
      </c>
      <c r="U77" s="364">
        <v>12</v>
      </c>
      <c r="V77" s="365">
        <v>15</v>
      </c>
      <c r="W77" s="366">
        <v>8</v>
      </c>
      <c r="AK77" s="26" t="s">
        <v>135</v>
      </c>
      <c r="AL77" s="10"/>
      <c r="AM77" s="10">
        <f>+AM59+AM60+AM76</f>
        <v>45810000</v>
      </c>
      <c r="AN77" s="10">
        <f>+AN59+AN60+AN76</f>
        <v>39900000</v>
      </c>
      <c r="AO77" s="10">
        <f>+AO59+AO60+AO76</f>
        <v>38150000</v>
      </c>
      <c r="AP77" s="11">
        <f>+AP59+AP60+AP76</f>
        <v>33090000</v>
      </c>
    </row>
    <row r="78" spans="19:42" ht="12.75">
      <c r="S78" s="25" t="s">
        <v>80</v>
      </c>
      <c r="T78" s="367">
        <v>0.0034</v>
      </c>
      <c r="U78" s="368">
        <v>0.0002</v>
      </c>
      <c r="V78" s="369"/>
      <c r="W78" s="371">
        <v>0.000132</v>
      </c>
      <c r="AK78" s="12" t="s">
        <v>136</v>
      </c>
      <c r="AL78" s="7"/>
      <c r="AM78" s="7">
        <f>+AM61+AM62+AM75</f>
        <v>13550000</v>
      </c>
      <c r="AN78" s="7">
        <f>+AN61+AN62+AN75</f>
        <v>14230000</v>
      </c>
      <c r="AO78" s="7">
        <f>+AO61+AO62+AO75</f>
        <v>14410000</v>
      </c>
      <c r="AP78" s="13">
        <f>+AP61+AP62+AP75</f>
        <v>14965000</v>
      </c>
    </row>
    <row r="79" spans="19:42" ht="13.5" thickBot="1">
      <c r="S79" s="14" t="s">
        <v>123</v>
      </c>
      <c r="T79" s="29">
        <f>+T77+T78*'Input Data'!$C$57</f>
        <v>285</v>
      </c>
      <c r="U79" s="53">
        <f>+U77+U78*'Input Data'!$C$57</f>
        <v>17</v>
      </c>
      <c r="V79" s="15">
        <f>+V77+V78*'Input Data'!$C$57</f>
        <v>15</v>
      </c>
      <c r="W79" s="55">
        <f>+W77+W78*'Input Data'!$C$57</f>
        <v>11.3</v>
      </c>
      <c r="AK79" s="14" t="s">
        <v>137</v>
      </c>
      <c r="AL79" s="15"/>
      <c r="AM79" s="15">
        <f>SUM(AM77:AM78)</f>
        <v>59360000</v>
      </c>
      <c r="AN79" s="15">
        <f>SUM(AN77:AN78)</f>
        <v>54130000</v>
      </c>
      <c r="AO79" s="15">
        <f>SUM(AO77:AO78)</f>
        <v>52560000</v>
      </c>
      <c r="AP79" s="16">
        <f>SUM(AP77:AP78)</f>
        <v>48055000</v>
      </c>
    </row>
    <row r="80" ht="12.75">
      <c r="W80"/>
    </row>
    <row r="81" ht="12.75">
      <c r="W81"/>
    </row>
    <row r="82" ht="12.75">
      <c r="W82"/>
    </row>
    <row r="83" ht="12.75">
      <c r="W83"/>
    </row>
    <row r="84" ht="13.5" thickBot="1">
      <c r="W84"/>
    </row>
    <row r="85" spans="23:42" ht="13.5" thickBot="1">
      <c r="W85"/>
      <c r="AK85" s="174" t="s">
        <v>90</v>
      </c>
      <c r="AL85" s="175"/>
      <c r="AM85" s="175"/>
      <c r="AN85" s="175"/>
      <c r="AO85" s="175"/>
      <c r="AP85" s="176"/>
    </row>
    <row r="86" spans="23:42" ht="13.5" thickBot="1">
      <c r="W86"/>
      <c r="AK86" s="177"/>
      <c r="AL86" s="178"/>
      <c r="AM86" s="216" t="s">
        <v>218</v>
      </c>
      <c r="AN86" s="180" t="s">
        <v>219</v>
      </c>
      <c r="AO86" s="217" t="s">
        <v>220</v>
      </c>
      <c r="AP86" s="180" t="s">
        <v>221</v>
      </c>
    </row>
    <row r="87" spans="23:42" ht="12.75">
      <c r="W87"/>
      <c r="AK87" s="174" t="s">
        <v>138</v>
      </c>
      <c r="AL87" s="175"/>
      <c r="AM87" s="174"/>
      <c r="AN87" s="174"/>
      <c r="AO87" s="174"/>
      <c r="AP87" s="185"/>
    </row>
    <row r="88" spans="23:42" ht="12.75">
      <c r="W88"/>
      <c r="AK88" s="177" t="s">
        <v>100</v>
      </c>
      <c r="AL88" s="178"/>
      <c r="AM88" s="186">
        <f aca="true" t="shared" si="38" ref="AM88:AP89">+AM65/WS/12/LY</f>
        <v>154.62585034013605</v>
      </c>
      <c r="AN88" s="186">
        <f t="shared" si="38"/>
        <v>134.52380952380955</v>
      </c>
      <c r="AO88" s="186">
        <f t="shared" si="38"/>
        <v>128.80952380952382</v>
      </c>
      <c r="AP88" s="187">
        <f t="shared" si="38"/>
        <v>111.59863945578232</v>
      </c>
    </row>
    <row r="89" spans="23:42" ht="13.5" thickBot="1">
      <c r="W89"/>
      <c r="AK89" s="177" t="s">
        <v>101</v>
      </c>
      <c r="AL89" s="178"/>
      <c r="AM89" s="186">
        <f t="shared" si="38"/>
        <v>45.66326530612245</v>
      </c>
      <c r="AN89" s="186">
        <f t="shared" si="38"/>
        <v>47.97619047619048</v>
      </c>
      <c r="AO89" s="186">
        <f t="shared" si="38"/>
        <v>49.01360544217687</v>
      </c>
      <c r="AP89" s="187">
        <f t="shared" si="38"/>
        <v>50.47619047619048</v>
      </c>
    </row>
    <row r="90" spans="23:42" ht="13.5" thickBot="1">
      <c r="W90"/>
      <c r="AK90" s="179" t="s">
        <v>164</v>
      </c>
      <c r="AL90" s="188"/>
      <c r="AM90" s="189">
        <f>SUM(AM88:AM89)</f>
        <v>200.2891156462585</v>
      </c>
      <c r="AN90" s="189">
        <f>SUM(AN88:AN89)</f>
        <v>182.50000000000003</v>
      </c>
      <c r="AO90" s="189">
        <f>SUM(AO88:AO89)</f>
        <v>177.8231292517007</v>
      </c>
      <c r="AP90" s="190">
        <f>SUM(AP88:AP89)</f>
        <v>162.0748299319728</v>
      </c>
    </row>
    <row r="91" spans="23:42" ht="12.75">
      <c r="W91"/>
      <c r="AK91" s="177" t="s">
        <v>139</v>
      </c>
      <c r="AL91" s="178"/>
      <c r="AM91" s="177"/>
      <c r="AN91" s="177"/>
      <c r="AO91" s="177"/>
      <c r="AP91" s="191"/>
    </row>
    <row r="92" spans="23:42" ht="12.75">
      <c r="W92"/>
      <c r="AK92" s="177" t="s">
        <v>100</v>
      </c>
      <c r="AL92" s="178"/>
      <c r="AM92" s="186">
        <f aca="true" t="shared" si="39" ref="AM92:AP93">+AM77/WS/12/LY</f>
        <v>155.81632653061226</v>
      </c>
      <c r="AN92" s="186">
        <f t="shared" si="39"/>
        <v>135.71428571428572</v>
      </c>
      <c r="AO92" s="186">
        <f t="shared" si="39"/>
        <v>129.76190476190476</v>
      </c>
      <c r="AP92" s="187">
        <f t="shared" si="39"/>
        <v>112.55102040816327</v>
      </c>
    </row>
    <row r="93" spans="23:42" ht="13.5" thickBot="1">
      <c r="W93"/>
      <c r="AK93" s="177" t="s">
        <v>101</v>
      </c>
      <c r="AL93" s="178"/>
      <c r="AM93" s="186">
        <f t="shared" si="39"/>
        <v>46.08843537414966</v>
      </c>
      <c r="AN93" s="186">
        <f t="shared" si="39"/>
        <v>48.401360544217695</v>
      </c>
      <c r="AO93" s="186">
        <f t="shared" si="39"/>
        <v>49.01360544217687</v>
      </c>
      <c r="AP93" s="187">
        <f t="shared" si="39"/>
        <v>50.90136054421769</v>
      </c>
    </row>
    <row r="94" spans="23:42" ht="13.5" thickBot="1">
      <c r="W94"/>
      <c r="AK94" s="179" t="s">
        <v>164</v>
      </c>
      <c r="AL94" s="188"/>
      <c r="AM94" s="189">
        <f>SUM(AM92:AM93)</f>
        <v>201.90476190476193</v>
      </c>
      <c r="AN94" s="189">
        <f>SUM(AN92:AN93)</f>
        <v>184.11564625850343</v>
      </c>
      <c r="AO94" s="189">
        <f>SUM(AO92:AO93)</f>
        <v>178.77551020408163</v>
      </c>
      <c r="AP94" s="190">
        <f>SUM(AP92:AP93)</f>
        <v>163.45238095238096</v>
      </c>
    </row>
    <row r="95" ht="12.75">
      <c r="W95"/>
    </row>
  </sheetData>
  <printOptions/>
  <pageMargins left="0.75" right="0.75" top="0.51" bottom="0.44"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codeName="Sheet4"/>
  <dimension ref="A1:O96"/>
  <sheetViews>
    <sheetView zoomScale="75" zoomScaleNormal="75" workbookViewId="0" topLeftCell="A1">
      <selection activeCell="C16" sqref="C16:J16"/>
    </sheetView>
  </sheetViews>
  <sheetFormatPr defaultColWidth="9.140625" defaultRowHeight="12.75"/>
  <cols>
    <col min="1" max="1" width="22.00390625" style="94" customWidth="1"/>
    <col min="2" max="2" width="20.421875" style="94" customWidth="1"/>
    <col min="3" max="3" width="12.7109375" style="94" customWidth="1"/>
    <col min="4" max="5" width="11.7109375" style="94" bestFit="1" customWidth="1"/>
    <col min="6" max="6" width="11.7109375" style="94" customWidth="1"/>
    <col min="7" max="7" width="11.28125" style="94" customWidth="1"/>
    <col min="8" max="9" width="12.57421875" style="94" bestFit="1" customWidth="1"/>
    <col min="10" max="10" width="10.421875" style="94" customWidth="1"/>
    <col min="11" max="11" width="12.57421875" style="94" bestFit="1" customWidth="1"/>
    <col min="12" max="13" width="12.57421875" style="0" bestFit="1" customWidth="1"/>
  </cols>
  <sheetData>
    <row r="1" spans="1:10" ht="16.5" thickBot="1">
      <c r="A1" s="128" t="s">
        <v>215</v>
      </c>
      <c r="B1" s="157" t="s">
        <v>111</v>
      </c>
      <c r="C1" s="303" t="s">
        <v>113</v>
      </c>
      <c r="D1" s="304"/>
      <c r="E1" s="304"/>
      <c r="F1" s="305"/>
      <c r="G1" s="303" t="s">
        <v>114</v>
      </c>
      <c r="H1" s="304"/>
      <c r="I1" s="304"/>
      <c r="J1" s="305"/>
    </row>
    <row r="2" spans="2:10" ht="13.5" thickBot="1">
      <c r="B2" s="160" t="s">
        <v>112</v>
      </c>
      <c r="C2" s="278" t="s">
        <v>218</v>
      </c>
      <c r="D2" s="279" t="s">
        <v>219</v>
      </c>
      <c r="E2" s="279" t="s">
        <v>220</v>
      </c>
      <c r="F2" s="280" t="s">
        <v>221</v>
      </c>
      <c r="G2" s="278" t="s">
        <v>218</v>
      </c>
      <c r="H2" s="279" t="s">
        <v>219</v>
      </c>
      <c r="I2" s="279" t="s">
        <v>220</v>
      </c>
      <c r="J2" s="280" t="s">
        <v>221</v>
      </c>
    </row>
    <row r="3" spans="2:10" ht="12.75">
      <c r="B3" s="161" t="s">
        <v>97</v>
      </c>
      <c r="C3" s="306">
        <f>+'Expense Cost Calculation'!H55</f>
        <v>587.6493440364839</v>
      </c>
      <c r="D3" s="307">
        <f>+C3</f>
        <v>587.6493440364839</v>
      </c>
      <c r="E3" s="307">
        <f>+C3</f>
        <v>587.6493440364839</v>
      </c>
      <c r="F3" s="308">
        <f>+C3</f>
        <v>587.6493440364839</v>
      </c>
      <c r="G3" s="306">
        <f>+'Expense Cost Calculation'!J55</f>
        <v>638.6399999999999</v>
      </c>
      <c r="H3" s="307">
        <f>+G3</f>
        <v>638.6399999999999</v>
      </c>
      <c r="I3" s="307">
        <f>+G3</f>
        <v>638.6399999999999</v>
      </c>
      <c r="J3" s="308">
        <f>+G3</f>
        <v>638.6399999999999</v>
      </c>
    </row>
    <row r="4" spans="2:10" ht="12.75">
      <c r="B4" s="161" t="s">
        <v>98</v>
      </c>
      <c r="C4" s="306">
        <f>+'Expense Cost Calculation'!I55</f>
        <v>152.3535336390884</v>
      </c>
      <c r="D4" s="307">
        <f>+C4</f>
        <v>152.3535336390884</v>
      </c>
      <c r="E4" s="307">
        <f>+C4</f>
        <v>152.3535336390884</v>
      </c>
      <c r="F4" s="308">
        <f>+C4</f>
        <v>152.3535336390884</v>
      </c>
      <c r="G4" s="306">
        <f>+'Expense Cost Calculation'!K55</f>
        <v>165.57333333333338</v>
      </c>
      <c r="H4" s="307">
        <f>+G4</f>
        <v>165.57333333333338</v>
      </c>
      <c r="I4" s="307">
        <f>+G4</f>
        <v>165.57333333333338</v>
      </c>
      <c r="J4" s="308">
        <f>+G4</f>
        <v>165.57333333333338</v>
      </c>
    </row>
    <row r="5" spans="2:10" ht="12.75">
      <c r="B5" s="161" t="s">
        <v>99</v>
      </c>
      <c r="C5" s="306">
        <v>0</v>
      </c>
      <c r="D5" s="307">
        <v>0</v>
      </c>
      <c r="E5" s="307">
        <v>0</v>
      </c>
      <c r="F5" s="308">
        <v>0</v>
      </c>
      <c r="G5" s="306">
        <v>0</v>
      </c>
      <c r="H5" s="307">
        <v>0</v>
      </c>
      <c r="I5" s="307">
        <v>0</v>
      </c>
      <c r="J5" s="308">
        <v>0</v>
      </c>
    </row>
    <row r="6" spans="2:10" ht="12.75">
      <c r="B6" s="161" t="s">
        <v>100</v>
      </c>
      <c r="C6" s="306">
        <f>+'Expense Cost Calculation'!AM88</f>
        <v>154.62585034013605</v>
      </c>
      <c r="D6" s="307">
        <f>+'Expense Cost Calculation'!AN88</f>
        <v>134.52380952380955</v>
      </c>
      <c r="E6" s="307">
        <f>+'Expense Cost Calculation'!AO88</f>
        <v>128.80952380952382</v>
      </c>
      <c r="F6" s="308">
        <f>+'Expense Cost Calculation'!AP88</f>
        <v>111.59863945578232</v>
      </c>
      <c r="G6" s="306">
        <f>+'Expense Cost Calculation'!AM92</f>
        <v>155.81632653061226</v>
      </c>
      <c r="H6" s="307">
        <f>+'Expense Cost Calculation'!AN92</f>
        <v>135.71428571428572</v>
      </c>
      <c r="I6" s="307">
        <f>+'Expense Cost Calculation'!AO92</f>
        <v>129.76190476190476</v>
      </c>
      <c r="J6" s="308">
        <f>+'Expense Cost Calculation'!AP92</f>
        <v>112.55102040816327</v>
      </c>
    </row>
    <row r="7" spans="2:10" ht="12.75">
      <c r="B7" s="161" t="s">
        <v>101</v>
      </c>
      <c r="C7" s="306">
        <f>+'Expense Cost Calculation'!AM89</f>
        <v>45.66326530612245</v>
      </c>
      <c r="D7" s="307">
        <f>+'Expense Cost Calculation'!AN89</f>
        <v>47.97619047619048</v>
      </c>
      <c r="E7" s="307">
        <f>+'Expense Cost Calculation'!AO89</f>
        <v>49.01360544217687</v>
      </c>
      <c r="F7" s="308">
        <f>+'Expense Cost Calculation'!AP89</f>
        <v>50.47619047619048</v>
      </c>
      <c r="G7" s="306">
        <f>+'Expense Cost Calculation'!AM93</f>
        <v>46.08843537414966</v>
      </c>
      <c r="H7" s="307">
        <f>+'Expense Cost Calculation'!AN93</f>
        <v>48.401360544217695</v>
      </c>
      <c r="I7" s="307">
        <f>+'Expense Cost Calculation'!AO93</f>
        <v>49.01360544217687</v>
      </c>
      <c r="J7" s="308">
        <f>+'Expense Cost Calculation'!AP93</f>
        <v>50.90136054421769</v>
      </c>
    </row>
    <row r="8" spans="2:10" ht="12.75">
      <c r="B8" s="161" t="s">
        <v>102</v>
      </c>
      <c r="C8" s="306">
        <f>+'Expense Cost Calculation'!BJ55</f>
        <v>175.46786481245275</v>
      </c>
      <c r="D8" s="307">
        <f>+'Expense Cost Calculation'!BK55</f>
        <v>175.46786481245275</v>
      </c>
      <c r="E8" s="307">
        <f>+'Expense Cost Calculation'!BL55</f>
        <v>175.46786481245275</v>
      </c>
      <c r="F8" s="308">
        <f>+'Expense Cost Calculation'!BM55</f>
        <v>175.46786481245275</v>
      </c>
      <c r="G8" s="306">
        <f>+'Expense Cost Calculation'!BR55</f>
        <v>191.12122448979594</v>
      </c>
      <c r="H8" s="307">
        <f>+'Expense Cost Calculation'!BS55</f>
        <v>191.12122448979594</v>
      </c>
      <c r="I8" s="307">
        <f>+'Expense Cost Calculation'!BT55</f>
        <v>191.12122448979594</v>
      </c>
      <c r="J8" s="308">
        <f>+'Expense Cost Calculation'!BU55</f>
        <v>191.12122448979594</v>
      </c>
    </row>
    <row r="9" spans="2:10" ht="12.75">
      <c r="B9" s="161" t="s">
        <v>103</v>
      </c>
      <c r="C9" s="306">
        <f>+'Expense Cost Calculation'!BJ56</f>
        <v>5.85112321453372</v>
      </c>
      <c r="D9" s="307">
        <f>+'Expense Cost Calculation'!BK56</f>
        <v>6.1111287283130915</v>
      </c>
      <c r="E9" s="307">
        <f>+'Expense Cost Calculation'!BL56</f>
        <v>6.3902217467045945</v>
      </c>
      <c r="F9" s="308">
        <f>+'Expense Cost Calculation'!BM56</f>
        <v>6.54398126497587</v>
      </c>
      <c r="G9" s="306">
        <f>+'Expense Cost Calculation'!BR56</f>
        <v>5.943376574579627</v>
      </c>
      <c r="H9" s="307">
        <f>+'Expense Cost Calculation'!BS56</f>
        <v>6.204621807654803</v>
      </c>
      <c r="I9" s="307">
        <f>+'Expense Cost Calculation'!BT56</f>
        <v>6.482428431316864</v>
      </c>
      <c r="J9" s="308">
        <f>+'Expense Cost Calculation'!BU56</f>
        <v>6.629709957410165</v>
      </c>
    </row>
    <row r="10" spans="2:10" ht="12.75">
      <c r="B10" s="161" t="s">
        <v>104</v>
      </c>
      <c r="C10" s="306">
        <f>+'Process Data'!$D$32</f>
        <v>200</v>
      </c>
      <c r="D10" s="307">
        <f>+'Process Data'!$D$32</f>
        <v>200</v>
      </c>
      <c r="E10" s="307">
        <f>+'Process Data'!$D$32</f>
        <v>200</v>
      </c>
      <c r="F10" s="308">
        <f>+'Process Data'!$D$32</f>
        <v>200</v>
      </c>
      <c r="G10" s="306">
        <f>+'Process Data'!$D$32</f>
        <v>200</v>
      </c>
      <c r="H10" s="307">
        <f>+'Process Data'!$D$32</f>
        <v>200</v>
      </c>
      <c r="I10" s="307">
        <f>+'Process Data'!$D$32</f>
        <v>200</v>
      </c>
      <c r="J10" s="308">
        <f>+'Process Data'!$D$32</f>
        <v>200</v>
      </c>
    </row>
    <row r="11" spans="2:10" ht="12.75">
      <c r="B11" s="161" t="s">
        <v>105</v>
      </c>
      <c r="C11" s="306">
        <f>+'Process Data'!$C$32</f>
        <v>0.0002025869776482014</v>
      </c>
      <c r="D11" s="307">
        <f>+'Process Data'!$C$32</f>
        <v>0.0002025869776482014</v>
      </c>
      <c r="E11" s="307">
        <f>+'Process Data'!$C$32</f>
        <v>0.0002025869776482014</v>
      </c>
      <c r="F11" s="308">
        <f>+'Process Data'!$C$32</f>
        <v>0.0002025869776482014</v>
      </c>
      <c r="G11" s="306">
        <f>+'Process Data'!$C$32</f>
        <v>0.0002025869776482014</v>
      </c>
      <c r="H11" s="307">
        <f>+'Process Data'!$C$32</f>
        <v>0.0002025869776482014</v>
      </c>
      <c r="I11" s="307">
        <f>+'Process Data'!$C$32</f>
        <v>0.0002025869776482014</v>
      </c>
      <c r="J11" s="308">
        <f>+'Process Data'!$C$32</f>
        <v>0.0002025869776482014</v>
      </c>
    </row>
    <row r="12" spans="2:10" ht="12.75">
      <c r="B12" s="161" t="s">
        <v>106</v>
      </c>
      <c r="C12" s="306">
        <v>0</v>
      </c>
      <c r="D12" s="307">
        <v>0</v>
      </c>
      <c r="E12" s="307">
        <v>0</v>
      </c>
      <c r="F12" s="308">
        <v>0</v>
      </c>
      <c r="G12" s="306">
        <v>0</v>
      </c>
      <c r="H12" s="307">
        <v>0</v>
      </c>
      <c r="I12" s="307">
        <v>0</v>
      </c>
      <c r="J12" s="308">
        <v>0</v>
      </c>
    </row>
    <row r="13" spans="2:10" ht="12.75">
      <c r="B13" s="161" t="s">
        <v>107</v>
      </c>
      <c r="C13" s="306">
        <v>0</v>
      </c>
      <c r="D13" s="307">
        <v>0</v>
      </c>
      <c r="E13" s="307">
        <v>0</v>
      </c>
      <c r="F13" s="308">
        <v>0</v>
      </c>
      <c r="G13" s="306">
        <v>0</v>
      </c>
      <c r="H13" s="307">
        <v>0</v>
      </c>
      <c r="I13" s="307">
        <v>0</v>
      </c>
      <c r="J13" s="308">
        <v>0</v>
      </c>
    </row>
    <row r="14" spans="2:10" ht="12.75">
      <c r="B14" s="161" t="s">
        <v>108</v>
      </c>
      <c r="C14" s="306">
        <v>0</v>
      </c>
      <c r="D14" s="307">
        <v>0</v>
      </c>
      <c r="E14" s="307">
        <v>0</v>
      </c>
      <c r="F14" s="308">
        <v>0</v>
      </c>
      <c r="G14" s="306">
        <v>0</v>
      </c>
      <c r="H14" s="307">
        <v>0</v>
      </c>
      <c r="I14" s="307">
        <v>0</v>
      </c>
      <c r="J14" s="308">
        <v>0</v>
      </c>
    </row>
    <row r="15" spans="2:10" ht="12.75">
      <c r="B15" s="162" t="s">
        <v>109</v>
      </c>
      <c r="C15" s="309">
        <v>0</v>
      </c>
      <c r="D15" s="310">
        <v>0</v>
      </c>
      <c r="E15" s="310">
        <v>0</v>
      </c>
      <c r="F15" s="311">
        <v>0</v>
      </c>
      <c r="G15" s="309">
        <v>0</v>
      </c>
      <c r="H15" s="310">
        <v>0</v>
      </c>
      <c r="I15" s="310">
        <v>0</v>
      </c>
      <c r="J15" s="311">
        <v>0</v>
      </c>
    </row>
    <row r="16" spans="2:10" ht="13.5" thickBot="1">
      <c r="B16" s="163" t="s">
        <v>110</v>
      </c>
      <c r="C16" s="312">
        <f aca="true" t="shared" si="0" ref="C16:J16">SUM(C3:C15)</f>
        <v>1321.6111839357948</v>
      </c>
      <c r="D16" s="313">
        <f t="shared" si="0"/>
        <v>1304.0820738033158</v>
      </c>
      <c r="E16" s="313">
        <f t="shared" si="0"/>
        <v>1299.684296073408</v>
      </c>
      <c r="F16" s="314">
        <f t="shared" si="0"/>
        <v>1284.0897562719513</v>
      </c>
      <c r="G16" s="312">
        <f t="shared" si="0"/>
        <v>1403.1828988894483</v>
      </c>
      <c r="H16" s="313">
        <f t="shared" si="0"/>
        <v>1385.655028476265</v>
      </c>
      <c r="I16" s="313">
        <f t="shared" si="0"/>
        <v>1380.5926990455052</v>
      </c>
      <c r="J16" s="314">
        <f t="shared" si="0"/>
        <v>1365.416851319898</v>
      </c>
    </row>
    <row r="17" spans="8:15" ht="12.75">
      <c r="H17" s="164"/>
      <c r="I17" s="164"/>
      <c r="J17" s="164"/>
      <c r="K17" s="164"/>
      <c r="L17" s="81"/>
      <c r="M17" s="81"/>
      <c r="N17" s="81"/>
      <c r="O17" s="81"/>
    </row>
    <row r="18" spans="8:15" ht="12.75">
      <c r="H18" s="164"/>
      <c r="I18" s="164"/>
      <c r="J18" s="164"/>
      <c r="K18" s="164"/>
      <c r="L18" s="81"/>
      <c r="M18" s="81"/>
      <c r="N18" s="81"/>
      <c r="O18" s="81"/>
    </row>
    <row r="19" spans="1:15" ht="16.5" thickBot="1">
      <c r="A19" s="128" t="s">
        <v>187</v>
      </c>
      <c r="B19" s="156"/>
      <c r="G19" s="156"/>
      <c r="H19" s="164"/>
      <c r="I19" s="164"/>
      <c r="L19" s="81"/>
      <c r="M19" s="81"/>
      <c r="N19" s="81"/>
      <c r="O19" s="81"/>
    </row>
    <row r="20" spans="2:15" ht="12.75">
      <c r="B20" s="165" t="s">
        <v>168</v>
      </c>
      <c r="C20" s="166">
        <f>+DOUT*LIFE/30-DOUT*RT/30*(1-(Y0/YF))*(1-(1/(1-EXP(-b*RT))-1/(b*RT)))</f>
        <v>1410144.6174008963</v>
      </c>
      <c r="L20" s="81"/>
      <c r="M20" s="81"/>
      <c r="N20" s="81"/>
      <c r="O20" s="81"/>
    </row>
    <row r="21" spans="2:15" ht="13.5" thickBot="1">
      <c r="B21" s="167"/>
      <c r="C21" s="168"/>
      <c r="L21" s="81"/>
      <c r="M21" s="81"/>
      <c r="N21" s="81"/>
      <c r="O21" s="81"/>
    </row>
    <row r="22" spans="12:15" ht="12.75">
      <c r="L22" s="81"/>
      <c r="M22" s="81"/>
      <c r="N22" s="81"/>
      <c r="O22" s="81"/>
    </row>
    <row r="23" spans="8:15" ht="12.75">
      <c r="H23" s="164"/>
      <c r="I23" s="164"/>
      <c r="J23" s="164"/>
      <c r="K23" s="164"/>
      <c r="L23" s="81"/>
      <c r="M23" s="81"/>
      <c r="N23" s="81"/>
      <c r="O23" s="81"/>
    </row>
    <row r="24" spans="1:15" ht="16.5" thickBot="1">
      <c r="A24" s="128" t="s">
        <v>183</v>
      </c>
      <c r="H24" s="164"/>
      <c r="I24" s="164"/>
      <c r="J24" s="164"/>
      <c r="K24" s="164"/>
      <c r="L24" s="81"/>
      <c r="M24" s="81"/>
      <c r="N24" s="81"/>
      <c r="O24" s="81"/>
    </row>
    <row r="25" spans="2:10" ht="13.5" thickBot="1">
      <c r="B25" s="160"/>
      <c r="C25" s="160" t="s">
        <v>354</v>
      </c>
      <c r="D25" s="158"/>
      <c r="E25" s="158"/>
      <c r="F25" s="159"/>
      <c r="G25" s="160" t="s">
        <v>158</v>
      </c>
      <c r="H25" s="158"/>
      <c r="I25" s="158"/>
      <c r="J25" s="159"/>
    </row>
    <row r="26" spans="2:10" ht="13.5" thickBot="1">
      <c r="B26" s="160" t="s">
        <v>186</v>
      </c>
      <c r="C26" s="278" t="s">
        <v>218</v>
      </c>
      <c r="D26" s="279" t="s">
        <v>219</v>
      </c>
      <c r="E26" s="279" t="s">
        <v>220</v>
      </c>
      <c r="F26" s="280" t="s">
        <v>221</v>
      </c>
      <c r="G26" s="278" t="s">
        <v>218</v>
      </c>
      <c r="H26" s="279" t="s">
        <v>219</v>
      </c>
      <c r="I26" s="279" t="s">
        <v>220</v>
      </c>
      <c r="J26" s="280" t="s">
        <v>221</v>
      </c>
    </row>
    <row r="27" spans="2:10" ht="12.75">
      <c r="B27" s="161" t="s">
        <v>193</v>
      </c>
      <c r="C27" s="282">
        <f>'Total Cost'!C16</f>
        <v>1321.6111839357948</v>
      </c>
      <c r="D27" s="283">
        <f>'Total Cost'!D16</f>
        <v>1304.0820738033158</v>
      </c>
      <c r="E27" s="283">
        <f>'Total Cost'!E16</f>
        <v>1299.684296073408</v>
      </c>
      <c r="F27" s="284">
        <f>'Total Cost'!F16</f>
        <v>1284.0897562719513</v>
      </c>
      <c r="G27" s="282">
        <f>'Total Cost'!G16</f>
        <v>1403.1828988894483</v>
      </c>
      <c r="H27" s="283">
        <f>'Total Cost'!H16</f>
        <v>1385.655028476265</v>
      </c>
      <c r="I27" s="283">
        <f>'Total Cost'!I16</f>
        <v>1380.5926990455052</v>
      </c>
      <c r="J27" s="284">
        <f>'Total Cost'!J16</f>
        <v>1365.416851319898</v>
      </c>
    </row>
    <row r="28" spans="2:14" ht="12.75">
      <c r="B28" s="161"/>
      <c r="C28" s="285"/>
      <c r="D28" s="286"/>
      <c r="E28" s="286"/>
      <c r="F28" s="287"/>
      <c r="G28" s="285"/>
      <c r="H28" s="286"/>
      <c r="I28" s="286"/>
      <c r="J28" s="287"/>
      <c r="N28" s="80"/>
    </row>
    <row r="29" spans="2:14" ht="12.75">
      <c r="B29" s="161" t="s">
        <v>180</v>
      </c>
      <c r="C29" s="285">
        <f>+C27*12*'Input Data'!$C$57</f>
        <v>396483355.18073845</v>
      </c>
      <c r="D29" s="286">
        <f>+D27*12*'Input Data'!$C$57</f>
        <v>391224622.1409947</v>
      </c>
      <c r="E29" s="286">
        <f>+E27*12*'Input Data'!$C$57</f>
        <v>389905288.8220224</v>
      </c>
      <c r="F29" s="287">
        <f>+F27*12*'Input Data'!$C$57</f>
        <v>385226926.8815854</v>
      </c>
      <c r="G29" s="285">
        <f>+G27*12*'Input Data'!$C$57</f>
        <v>420954869.6668345</v>
      </c>
      <c r="H29" s="286">
        <f>+H27*12*'Input Data'!$C$57</f>
        <v>415696508.54287946</v>
      </c>
      <c r="I29" s="286">
        <f>+I27*12*'Input Data'!$C$57</f>
        <v>414177809.71365154</v>
      </c>
      <c r="J29" s="287">
        <f>+J27*12*'Input Data'!$C$57</f>
        <v>409625055.39596933</v>
      </c>
      <c r="N29" s="81"/>
    </row>
    <row r="30" spans="2:14" ht="12.75">
      <c r="B30" s="161"/>
      <c r="C30" s="285"/>
      <c r="D30" s="286"/>
      <c r="E30" s="286"/>
      <c r="F30" s="287"/>
      <c r="G30" s="285"/>
      <c r="H30" s="286"/>
      <c r="I30" s="286"/>
      <c r="J30" s="287"/>
      <c r="N30" s="81"/>
    </row>
    <row r="31" spans="2:14" ht="13.5" thickBot="1">
      <c r="B31" s="170" t="s">
        <v>181</v>
      </c>
      <c r="C31" s="291">
        <f>+'Input Data'!$C$48/360*C29/$C$20</f>
        <v>1405.8251554068104</v>
      </c>
      <c r="D31" s="292">
        <f>+'Input Data'!$C$48/360*D29/$C$20</f>
        <v>1387.1790783489967</v>
      </c>
      <c r="E31" s="292">
        <f>+'Input Data'!$C$48/360*E29/$C$20</f>
        <v>1382.50107120458</v>
      </c>
      <c r="F31" s="293">
        <f>+'Input Data'!$C$48/360*F29/$C$20</f>
        <v>1365.9128366266973</v>
      </c>
      <c r="G31" s="291">
        <f>+'Input Data'!$C$48/360*G29/$C$20</f>
        <v>1492.5946760081818</v>
      </c>
      <c r="H31" s="292">
        <f>+'Input Data'!$C$48/360*H29/$C$20</f>
        <v>1473.9499176654278</v>
      </c>
      <c r="I31" s="292">
        <f>+'Input Data'!$C$48/360*I29/$C$20</f>
        <v>1468.5650131297955</v>
      </c>
      <c r="J31" s="293">
        <f>+'Input Data'!$C$48/360*J29/$C$20</f>
        <v>1452.422149974123</v>
      </c>
      <c r="N31" s="81"/>
    </row>
    <row r="32" ht="12.75">
      <c r="N32" s="81"/>
    </row>
    <row r="33" spans="1:14" ht="16.5" thickBot="1">
      <c r="A33" s="214" t="s">
        <v>184</v>
      </c>
      <c r="B33" s="164"/>
      <c r="N33" s="82"/>
    </row>
    <row r="34" spans="2:14" ht="12.75">
      <c r="B34" s="165" t="s">
        <v>171</v>
      </c>
      <c r="C34" s="166">
        <f>+'Input Data'!C51*'Input Data'!C58/30*((1-EXP(-'Input Data'!C60*'Input Data'!C48))/'Input Data'!C60-EXP(-'Input Data'!C60*('Input Data'!C53+'Input Data'!C56))*((EXP(-'Input Data'!C60*'Input Data'!C49)-EXP(-'Input Data'!C60*'Input Data'!C48))/'Input Data'!C60+('Input Data'!C47/'Input Data'!C46)*(1-EXP(-'Input Data'!C60*'Input Data'!C49))/'Input Data'!C60+(1-'Input Data'!C47/'Input Data'!C46)/(1-EXP(-'Input Data'!C59*'Input Data'!C49))*((1-EXP(-'Input Data'!C60*'Input Data'!C49))/'Input Data'!C60-(1-EXP(-('Input Data'!C60+'Input Data'!C59)*'Input Data'!C49))/('Input Data'!C60+'Input Data'!C59))))</f>
        <v>1021549521.5285308</v>
      </c>
      <c r="N34" s="81"/>
    </row>
    <row r="35" spans="2:14" ht="12.75">
      <c r="B35" s="161"/>
      <c r="C35" s="169"/>
      <c r="N35" s="81"/>
    </row>
    <row r="36" spans="2:14" ht="13.5" thickBot="1">
      <c r="B36" s="170" t="s">
        <v>208</v>
      </c>
      <c r="C36" s="171">
        <f>+C34/C20</f>
        <v>724.428905321354</v>
      </c>
      <c r="N36" s="81"/>
    </row>
    <row r="38" ht="16.5" thickBot="1">
      <c r="A38" s="128" t="s">
        <v>185</v>
      </c>
    </row>
    <row r="39" spans="2:10" ht="13.5" thickBot="1">
      <c r="B39" s="165"/>
      <c r="C39" s="165" t="s">
        <v>354</v>
      </c>
      <c r="D39" s="172"/>
      <c r="E39" s="172"/>
      <c r="F39" s="166"/>
      <c r="G39" s="165" t="s">
        <v>158</v>
      </c>
      <c r="H39" s="172"/>
      <c r="I39" s="172"/>
      <c r="J39" s="166"/>
    </row>
    <row r="40" spans="2:10" ht="13.5" thickBot="1">
      <c r="B40" s="160" t="s">
        <v>186</v>
      </c>
      <c r="C40" s="278" t="s">
        <v>218</v>
      </c>
      <c r="D40" s="279" t="s">
        <v>219</v>
      </c>
      <c r="E40" s="279" t="s">
        <v>220</v>
      </c>
      <c r="F40" s="280" t="s">
        <v>221</v>
      </c>
      <c r="G40" s="278" t="s">
        <v>218</v>
      </c>
      <c r="H40" s="279" t="s">
        <v>219</v>
      </c>
      <c r="I40" s="279" t="s">
        <v>220</v>
      </c>
      <c r="J40" s="280" t="s">
        <v>221</v>
      </c>
    </row>
    <row r="41" spans="2:10" ht="13.5" thickBot="1">
      <c r="B41" s="196" t="s">
        <v>182</v>
      </c>
      <c r="C41" s="315">
        <f aca="true" t="shared" si="1" ref="C41:J41">+$C$36+C31</f>
        <v>2130.2540607281644</v>
      </c>
      <c r="D41" s="316">
        <f t="shared" si="1"/>
        <v>2111.6079836703507</v>
      </c>
      <c r="E41" s="316">
        <f t="shared" si="1"/>
        <v>2106.929976525934</v>
      </c>
      <c r="F41" s="317">
        <f t="shared" si="1"/>
        <v>2090.341741948051</v>
      </c>
      <c r="G41" s="315">
        <f t="shared" si="1"/>
        <v>2217.023581329536</v>
      </c>
      <c r="H41" s="316">
        <f t="shared" si="1"/>
        <v>2198.378822986782</v>
      </c>
      <c r="I41" s="316">
        <f t="shared" si="1"/>
        <v>2192.9939184511495</v>
      </c>
      <c r="J41" s="317">
        <f t="shared" si="1"/>
        <v>2176.8510552954767</v>
      </c>
    </row>
    <row r="43" ht="15.75">
      <c r="A43" s="128" t="s">
        <v>292</v>
      </c>
    </row>
    <row r="44" ht="13.5" thickBot="1"/>
    <row r="45" spans="1:10" ht="12.75" customHeight="1" thickBot="1">
      <c r="A45" s="128"/>
      <c r="B45" s="165"/>
      <c r="C45" s="165" t="s">
        <v>354</v>
      </c>
      <c r="D45" s="172"/>
      <c r="E45" s="172"/>
      <c r="F45" s="166"/>
      <c r="G45" s="165" t="s">
        <v>158</v>
      </c>
      <c r="H45" s="172"/>
      <c r="I45" s="172"/>
      <c r="J45" s="166"/>
    </row>
    <row r="46" spans="2:10" ht="13.5" thickBot="1">
      <c r="B46" s="160" t="s">
        <v>186</v>
      </c>
      <c r="C46" s="278" t="s">
        <v>218</v>
      </c>
      <c r="D46" s="279" t="s">
        <v>219</v>
      </c>
      <c r="E46" s="279" t="s">
        <v>220</v>
      </c>
      <c r="F46" s="280" t="s">
        <v>221</v>
      </c>
      <c r="G46" s="278" t="s">
        <v>218</v>
      </c>
      <c r="H46" s="279" t="s">
        <v>219</v>
      </c>
      <c r="I46" s="279" t="s">
        <v>220</v>
      </c>
      <c r="J46" s="280" t="s">
        <v>221</v>
      </c>
    </row>
    <row r="47" spans="2:10" ht="12.75">
      <c r="B47" s="237" t="s">
        <v>353</v>
      </c>
      <c r="C47" s="294">
        <f aca="true" t="shared" si="2" ref="C47:J47">C$29*LIFE/360</f>
        <v>1982416775.9036922</v>
      </c>
      <c r="D47" s="295">
        <f t="shared" si="2"/>
        <v>1956123110.7049737</v>
      </c>
      <c r="E47" s="295">
        <f t="shared" si="2"/>
        <v>1949526444.1101117</v>
      </c>
      <c r="F47" s="296">
        <f t="shared" si="2"/>
        <v>1926134634.407927</v>
      </c>
      <c r="G47" s="294">
        <f t="shared" si="2"/>
        <v>2104774348.3341722</v>
      </c>
      <c r="H47" s="295">
        <f t="shared" si="2"/>
        <v>2078482542.7143972</v>
      </c>
      <c r="I47" s="295">
        <f t="shared" si="2"/>
        <v>2070889048.5682576</v>
      </c>
      <c r="J47" s="296">
        <f t="shared" si="2"/>
        <v>2048125276.9798465</v>
      </c>
    </row>
    <row r="48" spans="2:10" ht="12.75">
      <c r="B48" s="238" t="s">
        <v>293</v>
      </c>
      <c r="C48" s="297">
        <f aca="true" t="shared" si="3" ref="C48:J48">C$29/12/WS</f>
        <v>1321.6111839357948</v>
      </c>
      <c r="D48" s="298">
        <f t="shared" si="3"/>
        <v>1304.0820738033158</v>
      </c>
      <c r="E48" s="298">
        <f t="shared" si="3"/>
        <v>1299.684296073408</v>
      </c>
      <c r="F48" s="299">
        <f t="shared" si="3"/>
        <v>1284.0897562719513</v>
      </c>
      <c r="G48" s="297">
        <f t="shared" si="3"/>
        <v>1403.1828988894483</v>
      </c>
      <c r="H48" s="298">
        <f t="shared" si="3"/>
        <v>1385.6550284762648</v>
      </c>
      <c r="I48" s="298">
        <f t="shared" si="3"/>
        <v>1380.5926990455052</v>
      </c>
      <c r="J48" s="299">
        <f t="shared" si="3"/>
        <v>1365.4168513198977</v>
      </c>
    </row>
    <row r="49" spans="2:10" ht="13.5" thickBot="1">
      <c r="B49" s="163" t="s">
        <v>181</v>
      </c>
      <c r="C49" s="291">
        <f aca="true" t="shared" si="4" ref="C49:J49">C$31</f>
        <v>1405.8251554068104</v>
      </c>
      <c r="D49" s="292">
        <f t="shared" si="4"/>
        <v>1387.1790783489967</v>
      </c>
      <c r="E49" s="292">
        <f t="shared" si="4"/>
        <v>1382.50107120458</v>
      </c>
      <c r="F49" s="293">
        <f t="shared" si="4"/>
        <v>1365.9128366266973</v>
      </c>
      <c r="G49" s="291">
        <f t="shared" si="4"/>
        <v>1492.5946760081818</v>
      </c>
      <c r="H49" s="292">
        <f t="shared" si="4"/>
        <v>1473.9499176654278</v>
      </c>
      <c r="I49" s="292">
        <f t="shared" si="4"/>
        <v>1468.5650131297955</v>
      </c>
      <c r="J49" s="293">
        <f t="shared" si="4"/>
        <v>1452.422149974123</v>
      </c>
    </row>
    <row r="50" spans="2:3" ht="12.75">
      <c r="B50" s="237" t="s">
        <v>294</v>
      </c>
      <c r="C50" s="241">
        <f>+R0*DOUT/30*EXP(-a*(VT+CT))*((EXP(-a*RT)-EXP(-a*LIFE))/a+(Y0/YF)*(1-EXP(-a*RT))/a+(1-Y0/YF)/(1-EXP(-b*RT))*((1-EXP(-a*RT))/a-(1-EXP(-(a+b)*RT))/(a+b)))</f>
        <v>6534297188.34713</v>
      </c>
    </row>
    <row r="51" spans="2:3" ht="12.75">
      <c r="B51" s="238" t="s">
        <v>295</v>
      </c>
      <c r="C51" s="242">
        <f>ROL/LIFE*30/WS</f>
        <v>4356.198125564753</v>
      </c>
    </row>
    <row r="52" spans="2:3" ht="12.75">
      <c r="B52" s="238" t="s">
        <v>355</v>
      </c>
      <c r="C52" s="242">
        <f>ROL/TD</f>
        <v>4633.778059154528</v>
      </c>
    </row>
    <row r="53" spans="2:3" ht="12.75">
      <c r="B53" s="238" t="s">
        <v>319</v>
      </c>
      <c r="C53" s="242">
        <f>TDC</f>
        <v>1021549521.5285308</v>
      </c>
    </row>
    <row r="54" spans="2:3" ht="13.5" thickBot="1">
      <c r="B54" s="163" t="s">
        <v>296</v>
      </c>
      <c r="C54" s="243">
        <f>DCPD</f>
        <v>724.428905321354</v>
      </c>
    </row>
    <row r="56" spans="6:7" ht="12.75">
      <c r="F56"/>
      <c r="G56"/>
    </row>
    <row r="57" spans="6:10" ht="12.75">
      <c r="F57"/>
      <c r="G57"/>
      <c r="I57"/>
      <c r="J57"/>
    </row>
    <row r="58" spans="1:10" ht="12.75">
      <c r="A58"/>
      <c r="C58"/>
      <c r="D58"/>
      <c r="F58"/>
      <c r="G58"/>
      <c r="I58"/>
      <c r="J58"/>
    </row>
    <row r="59" spans="1:10" ht="12.75">
      <c r="A59"/>
      <c r="C59"/>
      <c r="D59"/>
      <c r="F59"/>
      <c r="G59"/>
      <c r="I59"/>
      <c r="J59"/>
    </row>
    <row r="60" spans="1:10" ht="12.75">
      <c r="A60"/>
      <c r="C60"/>
      <c r="D60"/>
      <c r="F60"/>
      <c r="G60"/>
      <c r="I60"/>
      <c r="J60"/>
    </row>
    <row r="61" spans="1:10" ht="12.75">
      <c r="A61"/>
      <c r="C61"/>
      <c r="D61"/>
      <c r="F61"/>
      <c r="G61"/>
      <c r="I61"/>
      <c r="J61"/>
    </row>
    <row r="62" spans="1:10" ht="12.75">
      <c r="A62"/>
      <c r="C62"/>
      <c r="D62"/>
      <c r="F62"/>
      <c r="G62"/>
      <c r="I62"/>
      <c r="J62"/>
    </row>
    <row r="63" spans="1:10" ht="12.75">
      <c r="A63"/>
      <c r="C63"/>
      <c r="D63"/>
      <c r="F63"/>
      <c r="G63"/>
      <c r="I63"/>
      <c r="J63"/>
    </row>
    <row r="64" spans="1:10" ht="12.75">
      <c r="A64"/>
      <c r="C64"/>
      <c r="D64"/>
      <c r="F64"/>
      <c r="G64"/>
      <c r="I64"/>
      <c r="J64"/>
    </row>
    <row r="65" spans="1:10" ht="12.75">
      <c r="A65"/>
      <c r="C65"/>
      <c r="D65"/>
      <c r="F65"/>
      <c r="G65"/>
      <c r="I65"/>
      <c r="J65"/>
    </row>
    <row r="66" spans="1:10" ht="12.75">
      <c r="A66"/>
      <c r="C66"/>
      <c r="D66"/>
      <c r="F66"/>
      <c r="G66"/>
      <c r="I66"/>
      <c r="J66"/>
    </row>
    <row r="67" spans="1:7" ht="12.75">
      <c r="A67"/>
      <c r="C67"/>
      <c r="D67"/>
      <c r="F67"/>
      <c r="G67"/>
    </row>
    <row r="68" spans="6:7" ht="12.75">
      <c r="F68"/>
      <c r="G68"/>
    </row>
    <row r="69" spans="6:7" ht="12.75">
      <c r="F69"/>
      <c r="G69"/>
    </row>
    <row r="70" spans="6:7" ht="12.75">
      <c r="F70"/>
      <c r="G70"/>
    </row>
    <row r="71" spans="6:7" ht="12.75">
      <c r="F71"/>
      <c r="G71"/>
    </row>
    <row r="72" spans="2:3" ht="12.75">
      <c r="B72"/>
      <c r="C72"/>
    </row>
    <row r="73" spans="2:3" ht="12.75">
      <c r="B73"/>
      <c r="C73"/>
    </row>
    <row r="79" ht="13.5" customHeight="1"/>
    <row r="82" spans="1:10" ht="12.75">
      <c r="A82"/>
      <c r="C82"/>
      <c r="D82"/>
      <c r="F82"/>
      <c r="G82"/>
      <c r="I82"/>
      <c r="J82"/>
    </row>
    <row r="83" spans="1:10" ht="12.75">
      <c r="A83"/>
      <c r="C83"/>
      <c r="D83"/>
      <c r="F83"/>
      <c r="G83"/>
      <c r="I83"/>
      <c r="J83"/>
    </row>
    <row r="84" spans="1:10" ht="12.75">
      <c r="A84"/>
      <c r="C84"/>
      <c r="D84"/>
      <c r="F84"/>
      <c r="G84"/>
      <c r="I84"/>
      <c r="J84"/>
    </row>
    <row r="85" spans="1:10" ht="12.75">
      <c r="A85"/>
      <c r="C85"/>
      <c r="D85"/>
      <c r="F85"/>
      <c r="G85"/>
      <c r="I85"/>
      <c r="J85"/>
    </row>
    <row r="86" spans="1:10" ht="12.75">
      <c r="A86"/>
      <c r="C86"/>
      <c r="D86"/>
      <c r="F86"/>
      <c r="G86"/>
      <c r="I86"/>
      <c r="J86"/>
    </row>
    <row r="87" spans="1:10" ht="12.75">
      <c r="A87"/>
      <c r="C87"/>
      <c r="D87"/>
      <c r="F87"/>
      <c r="G87"/>
      <c r="I87"/>
      <c r="J87"/>
    </row>
    <row r="88" spans="1:10" ht="12.75">
      <c r="A88"/>
      <c r="C88"/>
      <c r="D88"/>
      <c r="F88"/>
      <c r="G88"/>
      <c r="I88"/>
      <c r="J88"/>
    </row>
    <row r="89" spans="1:10" ht="12.75">
      <c r="A89"/>
      <c r="C89"/>
      <c r="D89"/>
      <c r="F89"/>
      <c r="G89"/>
      <c r="I89"/>
      <c r="J89"/>
    </row>
    <row r="90" spans="1:7" ht="12.75">
      <c r="A90"/>
      <c r="C90"/>
      <c r="D90"/>
      <c r="F90"/>
      <c r="G90"/>
    </row>
    <row r="91" spans="6:7" ht="12.75">
      <c r="F91"/>
      <c r="G91"/>
    </row>
    <row r="92" spans="6:7" ht="12.75">
      <c r="F92"/>
      <c r="G92"/>
    </row>
    <row r="93" spans="6:7" ht="12.75">
      <c r="F93"/>
      <c r="G93"/>
    </row>
    <row r="94" spans="6:7" ht="12.75">
      <c r="F94"/>
      <c r="G94"/>
    </row>
    <row r="95" spans="2:3" ht="12.75">
      <c r="B95"/>
      <c r="C95"/>
    </row>
    <row r="96" spans="2:3" ht="12.75">
      <c r="B96"/>
      <c r="C96"/>
    </row>
  </sheetData>
  <conditionalFormatting sqref="C86 C63">
    <cfRule type="expression" priority="1" dxfId="0" stopIfTrue="1">
      <formula>"A5W"</formula>
    </cfRule>
    <cfRule type="expression" priority="2" dxfId="0" stopIfTrue="1">
      <formula>"A5W&gt;0"</formula>
    </cfRule>
  </conditionalFormatting>
  <printOptions/>
  <pageMargins left="0.26" right="0.29" top="0.62" bottom="0.41" header="0.5" footer="0.29"/>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codeName="Sheet5"/>
  <dimension ref="A1:Q49"/>
  <sheetViews>
    <sheetView zoomScale="75" zoomScaleNormal="75" workbookViewId="0" topLeftCell="A1">
      <selection activeCell="G6" sqref="G6:G48"/>
    </sheetView>
  </sheetViews>
  <sheetFormatPr defaultColWidth="9.140625" defaultRowHeight="12.75"/>
  <cols>
    <col min="1" max="2" width="9.140625" style="94" customWidth="1"/>
    <col min="3" max="3" width="22.28125" style="94" customWidth="1"/>
    <col min="4" max="5" width="9.140625" style="94" customWidth="1"/>
    <col min="8" max="8" width="9.7109375" style="0" customWidth="1"/>
    <col min="9" max="9" width="9.8515625" style="0" customWidth="1"/>
    <col min="16" max="16" width="15.421875" style="0" customWidth="1"/>
  </cols>
  <sheetData>
    <row r="1" ht="15.75">
      <c r="A1" s="128" t="s">
        <v>217</v>
      </c>
    </row>
    <row r="3" ht="13.5" thickBot="1"/>
    <row r="4" spans="3:7" ht="12.75">
      <c r="C4" s="207"/>
      <c r="D4" s="208" t="s">
        <v>59</v>
      </c>
      <c r="E4" s="267" t="s">
        <v>59</v>
      </c>
      <c r="F4" s="272" t="s">
        <v>315</v>
      </c>
      <c r="G4" s="270" t="s">
        <v>315</v>
      </c>
    </row>
    <row r="5" spans="3:7" ht="13.5" thickBot="1">
      <c r="C5" s="209" t="s">
        <v>61</v>
      </c>
      <c r="D5" s="210" t="s">
        <v>116</v>
      </c>
      <c r="E5" s="141" t="s">
        <v>62</v>
      </c>
      <c r="F5" s="273" t="s">
        <v>311</v>
      </c>
      <c r="G5" s="271" t="s">
        <v>203</v>
      </c>
    </row>
    <row r="6" spans="3:17" ht="12.75">
      <c r="C6" s="106" t="str">
        <f>'Input Data'!I9</f>
        <v>CMP_Ins</v>
      </c>
      <c r="D6" s="211">
        <v>2.4970646659891793</v>
      </c>
      <c r="E6" s="268">
        <f aca="true" t="shared" si="0" ref="E6:E48">+ROUNDUP(D6,0)</f>
        <v>3</v>
      </c>
      <c r="F6" s="51">
        <v>0.23</v>
      </c>
      <c r="G6" s="11">
        <v>0.19144162439250376</v>
      </c>
      <c r="P6" s="211" t="s">
        <v>251</v>
      </c>
      <c r="Q6">
        <v>2.5165033441246436</v>
      </c>
    </row>
    <row r="7" spans="3:17" ht="12.75">
      <c r="C7" s="106" t="str">
        <f>'Input Data'!I10</f>
        <v>CMP_Ins(C) </v>
      </c>
      <c r="D7" s="211">
        <v>16.94046665331914</v>
      </c>
      <c r="E7" s="268">
        <f t="shared" si="0"/>
        <v>17</v>
      </c>
      <c r="F7" s="52">
        <v>0.23</v>
      </c>
      <c r="G7" s="13">
        <v>0.22919454883902368</v>
      </c>
      <c r="P7" s="211" t="s">
        <v>249</v>
      </c>
      <c r="Q7">
        <v>5.033006688249287</v>
      </c>
    </row>
    <row r="8" spans="3:17" ht="12.75">
      <c r="C8" s="106" t="str">
        <f>'Input Data'!I11</f>
        <v>CMP_Ins(I)</v>
      </c>
      <c r="D8" s="211">
        <v>2.5135042954822437</v>
      </c>
      <c r="E8" s="268">
        <f t="shared" si="0"/>
        <v>3</v>
      </c>
      <c r="F8" s="52">
        <v>0.23</v>
      </c>
      <c r="G8" s="13">
        <v>0.19270199598697202</v>
      </c>
      <c r="P8" s="211" t="s">
        <v>250</v>
      </c>
      <c r="Q8">
        <v>2.508110726117179</v>
      </c>
    </row>
    <row r="9" spans="3:17" ht="12.75">
      <c r="C9" s="106" t="str">
        <f>'Input Data'!I12</f>
        <v>CMP_Met</v>
      </c>
      <c r="D9" s="211">
        <v>8.471387975303877</v>
      </c>
      <c r="E9" s="268">
        <f t="shared" si="0"/>
        <v>9</v>
      </c>
      <c r="F9" s="52">
        <v>0.23</v>
      </c>
      <c r="G9" s="13">
        <v>0.21649102603554354</v>
      </c>
      <c r="P9" s="211" t="s">
        <v>252</v>
      </c>
      <c r="Q9">
        <v>2.5165033441246436</v>
      </c>
    </row>
    <row r="10" spans="3:17" ht="12.75">
      <c r="C10" s="106" t="str">
        <f>'Input Data'!I13</f>
        <v>CVD_Ins</v>
      </c>
      <c r="D10" s="211">
        <v>3.4755075863921445</v>
      </c>
      <c r="E10" s="268">
        <f t="shared" si="0"/>
        <v>4</v>
      </c>
      <c r="F10" s="52">
        <v>0.64</v>
      </c>
      <c r="G10" s="13">
        <v>0.5560812138227431</v>
      </c>
      <c r="P10" s="211" t="s">
        <v>255</v>
      </c>
      <c r="Q10">
        <v>3.5092772776975742</v>
      </c>
    </row>
    <row r="11" spans="3:17" ht="12.75">
      <c r="C11" s="106" t="str">
        <f>'Input Data'!I14</f>
        <v>CVD_Ins(C) </v>
      </c>
      <c r="D11" s="211">
        <v>8.21716691028564</v>
      </c>
      <c r="E11" s="268">
        <f t="shared" si="0"/>
        <v>9</v>
      </c>
      <c r="F11" s="52">
        <v>0.64</v>
      </c>
      <c r="G11" s="13">
        <v>0.5843318691758677</v>
      </c>
      <c r="P11" s="211" t="s">
        <v>253</v>
      </c>
      <c r="Q11">
        <v>3.979220912897093</v>
      </c>
    </row>
    <row r="12" spans="3:17" ht="12.75">
      <c r="C12" s="106" t="str">
        <f>'Input Data'!I15</f>
        <v>CVD_Ins(I)</v>
      </c>
      <c r="D12" s="211">
        <v>1.084116761157242</v>
      </c>
      <c r="E12" s="268">
        <f t="shared" si="0"/>
        <v>2</v>
      </c>
      <c r="F12" s="52">
        <v>0.64</v>
      </c>
      <c r="G12" s="13">
        <v>0.34691736357031744</v>
      </c>
      <c r="P12" s="211" t="s">
        <v>254</v>
      </c>
      <c r="Q12">
        <v>1.082139055901648</v>
      </c>
    </row>
    <row r="13" spans="3:17" ht="12.75">
      <c r="C13" s="106" t="str">
        <f>'Input Data'!I16</f>
        <v>CVD_Ins_Thin</v>
      </c>
      <c r="D13" s="211">
        <v>1.8237113221134895</v>
      </c>
      <c r="E13" s="268">
        <f t="shared" si="0"/>
        <v>2</v>
      </c>
      <c r="F13" s="52">
        <v>0.64</v>
      </c>
      <c r="G13" s="13">
        <v>0.5835876230763166</v>
      </c>
      <c r="P13" s="211" t="s">
        <v>256</v>
      </c>
      <c r="Q13">
        <v>0.5426210335768763</v>
      </c>
    </row>
    <row r="14" spans="3:17" ht="12.75">
      <c r="C14" s="106" t="str">
        <f>'Input Data'!I17</f>
        <v>CVD_Met</v>
      </c>
      <c r="D14" s="211">
        <v>4.052366775591238</v>
      </c>
      <c r="E14" s="268">
        <f t="shared" si="0"/>
        <v>5</v>
      </c>
      <c r="F14" s="52">
        <v>0.48</v>
      </c>
      <c r="G14" s="13">
        <v>0.3890272104567588</v>
      </c>
      <c r="P14" s="211" t="s">
        <v>258</v>
      </c>
      <c r="Q14">
        <v>1.205824519059725</v>
      </c>
    </row>
    <row r="15" spans="3:17" ht="12.75">
      <c r="C15" s="106" t="str">
        <f>'Input Data'!I18</f>
        <v>CVD_Met(C) </v>
      </c>
      <c r="D15" s="211">
        <v>1.1835460996544862</v>
      </c>
      <c r="E15" s="268">
        <f t="shared" si="0"/>
        <v>2</v>
      </c>
      <c r="F15" s="52">
        <v>0.48</v>
      </c>
      <c r="G15" s="13">
        <v>0.2840510639170767</v>
      </c>
      <c r="P15" s="211"/>
      <c r="Q15">
        <v>1.1835460996544862</v>
      </c>
    </row>
    <row r="16" spans="3:17" ht="12.75">
      <c r="C16" s="106" t="str">
        <f>'Input Data'!I19</f>
        <v>CVD_MetW</v>
      </c>
      <c r="D16" s="211">
        <v>3.4718129380897027</v>
      </c>
      <c r="E16" s="268">
        <f t="shared" si="0"/>
        <v>4</v>
      </c>
      <c r="F16" s="52">
        <v>0.48</v>
      </c>
      <c r="G16" s="13">
        <v>0.4166175525707643</v>
      </c>
      <c r="P16" s="211" t="s">
        <v>260</v>
      </c>
      <c r="Q16">
        <v>1.0335638734797643</v>
      </c>
    </row>
    <row r="17" spans="3:17" ht="12.75">
      <c r="C17" s="106" t="str">
        <f>'Input Data'!I20</f>
        <v>CVD_MetW(C) </v>
      </c>
      <c r="D17" s="211">
        <v>1.0214443310764316</v>
      </c>
      <c r="E17" s="268">
        <f t="shared" si="0"/>
        <v>2</v>
      </c>
      <c r="F17" s="52">
        <v>0.48</v>
      </c>
      <c r="G17" s="13">
        <v>0.24514663945834358</v>
      </c>
      <c r="P17" s="211"/>
      <c r="Q17">
        <v>1.0214443310764316</v>
      </c>
    </row>
    <row r="18" spans="3:17" ht="12.75">
      <c r="C18" s="106" t="str">
        <f>'Input Data'!I21</f>
        <v>Dry_Etch</v>
      </c>
      <c r="D18" s="211">
        <v>2.35307610827173</v>
      </c>
      <c r="E18" s="268">
        <f t="shared" si="0"/>
        <v>3</v>
      </c>
      <c r="F18" s="52">
        <v>0.59</v>
      </c>
      <c r="G18" s="13">
        <v>0.46277163462677356</v>
      </c>
      <c r="P18" s="211" t="s">
        <v>264</v>
      </c>
      <c r="Q18">
        <v>2.351055079901198</v>
      </c>
    </row>
    <row r="19" spans="3:17" ht="12.75">
      <c r="C19" s="106" t="str">
        <f>'Input Data'!I22</f>
        <v>Dry_Etch(A)</v>
      </c>
      <c r="D19" s="211">
        <v>2.56839957315529</v>
      </c>
      <c r="E19" s="268">
        <f t="shared" si="0"/>
        <v>3</v>
      </c>
      <c r="F19" s="52">
        <v>0.53</v>
      </c>
      <c r="G19" s="13">
        <v>0.4537505912574346</v>
      </c>
      <c r="P19" s="211" t="s">
        <v>261</v>
      </c>
      <c r="Q19">
        <v>2.620961973503402</v>
      </c>
    </row>
    <row r="20" spans="3:17" ht="12.75">
      <c r="C20" s="106" t="str">
        <f>'Input Data'!I23</f>
        <v>Dry_Etch(C) </v>
      </c>
      <c r="D20" s="211">
        <v>12.65988152179935</v>
      </c>
      <c r="E20" s="268">
        <f t="shared" si="0"/>
        <v>13</v>
      </c>
      <c r="F20" s="52">
        <v>0.53</v>
      </c>
      <c r="G20" s="13">
        <v>0.5161336312733582</v>
      </c>
      <c r="P20" s="211" t="s">
        <v>262</v>
      </c>
      <c r="Q20">
        <v>4.91430370031888</v>
      </c>
    </row>
    <row r="21" spans="3:17" ht="12.75">
      <c r="C21" s="106" t="str">
        <f>'Input Data'!I24</f>
        <v>Dry_Etch(I)</v>
      </c>
      <c r="D21" s="211">
        <v>8.488505755157952</v>
      </c>
      <c r="E21" s="268">
        <f t="shared" si="0"/>
        <v>9</v>
      </c>
      <c r="F21" s="52">
        <v>0.53</v>
      </c>
      <c r="G21" s="13">
        <v>0.49987867224819055</v>
      </c>
      <c r="P21" s="211" t="s">
        <v>263</v>
      </c>
      <c r="Q21">
        <v>6.930262831545006</v>
      </c>
    </row>
    <row r="22" spans="3:17" ht="12.75">
      <c r="C22" s="106" t="str">
        <f>'Input Data'!I25</f>
        <v>Dry_Etch_Met</v>
      </c>
      <c r="D22" s="211">
        <v>6.586435451116097</v>
      </c>
      <c r="E22" s="268">
        <f t="shared" si="0"/>
        <v>7</v>
      </c>
      <c r="F22" s="52">
        <v>0.59</v>
      </c>
      <c r="G22" s="13">
        <v>0.555142416594071</v>
      </c>
      <c r="P22" s="211" t="s">
        <v>265</v>
      </c>
      <c r="Q22">
        <v>1.9620195564361629</v>
      </c>
    </row>
    <row r="23" spans="3:17" ht="12.75">
      <c r="C23" s="106" t="str">
        <f>'Input Data'!I26</f>
        <v>Dry_Strip</v>
      </c>
      <c r="D23" s="211">
        <v>1.778603847235521</v>
      </c>
      <c r="E23" s="268">
        <f t="shared" si="0"/>
        <v>2</v>
      </c>
      <c r="F23" s="52">
        <v>0.65</v>
      </c>
      <c r="G23" s="13">
        <v>0.5780462503515443</v>
      </c>
      <c r="P23" s="211" t="s">
        <v>23</v>
      </c>
      <c r="Q23">
        <v>1.7744060455224178</v>
      </c>
    </row>
    <row r="24" spans="3:17" ht="12.75">
      <c r="C24" s="106" t="str">
        <f>'Input Data'!I27</f>
        <v>Dry_Strip(D)</v>
      </c>
      <c r="D24" s="211">
        <v>1.9871576662042503</v>
      </c>
      <c r="E24" s="268">
        <f t="shared" si="0"/>
        <v>2</v>
      </c>
      <c r="F24" s="52">
        <v>0.65</v>
      </c>
      <c r="G24" s="13">
        <v>0.6458262415163813</v>
      </c>
      <c r="P24" s="211" t="s">
        <v>266</v>
      </c>
      <c r="Q24">
        <v>2.002038141921096</v>
      </c>
    </row>
    <row r="25" spans="3:17" ht="12.75">
      <c r="C25" s="106" t="str">
        <f>'Input Data'!I28</f>
        <v>Dry_Strip(I)</v>
      </c>
      <c r="D25" s="211">
        <v>7.590804498791813</v>
      </c>
      <c r="E25" s="268">
        <f t="shared" si="0"/>
        <v>8</v>
      </c>
      <c r="F25" s="52">
        <v>0.65</v>
      </c>
      <c r="G25" s="13">
        <v>0.6167528655268348</v>
      </c>
      <c r="P25" s="211" t="s">
        <v>267</v>
      </c>
      <c r="Q25">
        <v>1.989995330118421</v>
      </c>
    </row>
    <row r="26" spans="3:17" ht="12.75">
      <c r="C26" s="106" t="str">
        <f>'Input Data'!I29</f>
        <v>Furn_FastRmp</v>
      </c>
      <c r="D26" s="211">
        <v>7.768161187222287</v>
      </c>
      <c r="E26" s="268">
        <f t="shared" si="0"/>
        <v>8</v>
      </c>
      <c r="F26" s="52">
        <v>0.5</v>
      </c>
      <c r="G26" s="13">
        <v>0.4855100742013929</v>
      </c>
      <c r="P26" s="211" t="s">
        <v>268</v>
      </c>
      <c r="Q26">
        <v>6.930104424930457</v>
      </c>
    </row>
    <row r="27" spans="3:17" ht="12.75">
      <c r="C27" s="106" t="str">
        <f>'Input Data'!I30</f>
        <v>Furn_Nitr</v>
      </c>
      <c r="D27" s="211">
        <v>2.314456027843943</v>
      </c>
      <c r="E27" s="268">
        <f t="shared" si="0"/>
        <v>3</v>
      </c>
      <c r="F27" s="52">
        <v>0.5</v>
      </c>
      <c r="G27" s="13">
        <v>0.3857426713073238</v>
      </c>
      <c r="P27" s="211" t="s">
        <v>269</v>
      </c>
      <c r="Q27">
        <v>2.3137103809006483</v>
      </c>
    </row>
    <row r="28" spans="3:17" ht="12.75">
      <c r="C28" s="106" t="str">
        <f>'Input Data'!I31</f>
        <v>Furn_OxAn</v>
      </c>
      <c r="D28" s="211">
        <v>10.019169819519087</v>
      </c>
      <c r="E28" s="268">
        <f t="shared" si="0"/>
        <v>11</v>
      </c>
      <c r="F28" s="52">
        <v>0.5</v>
      </c>
      <c r="G28" s="13">
        <v>0.4554168099781403</v>
      </c>
      <c r="P28" s="211" t="s">
        <v>271</v>
      </c>
      <c r="Q28">
        <v>5.354243626057478</v>
      </c>
    </row>
    <row r="29" spans="3:17" ht="12.75">
      <c r="C29" s="106" t="str">
        <f>'Input Data'!I32</f>
        <v>Furn_OxAn(I)</v>
      </c>
      <c r="D29" s="211">
        <v>1.9595732164439905</v>
      </c>
      <c r="E29" s="268">
        <f t="shared" si="0"/>
        <v>2</v>
      </c>
      <c r="F29" s="52">
        <v>0.5</v>
      </c>
      <c r="G29" s="13">
        <v>0.48989330411099763</v>
      </c>
      <c r="P29" s="211" t="s">
        <v>270</v>
      </c>
      <c r="Q29">
        <v>1.972796854969223</v>
      </c>
    </row>
    <row r="30" spans="3:17" ht="12.75">
      <c r="C30" s="106" t="str">
        <f>'Input Data'!I33</f>
        <v>Furn_Poly</v>
      </c>
      <c r="D30" s="211">
        <v>3.680132020834993</v>
      </c>
      <c r="E30" s="268">
        <f t="shared" si="0"/>
        <v>4</v>
      </c>
      <c r="F30" s="52">
        <v>0.5</v>
      </c>
      <c r="G30" s="13">
        <v>0.4600165026043741</v>
      </c>
      <c r="P30" s="211" t="s">
        <v>272</v>
      </c>
      <c r="Q30">
        <v>2.2862701374713903</v>
      </c>
    </row>
    <row r="31" spans="3:17" ht="12.75">
      <c r="C31" s="106" t="str">
        <f>'Input Data'!I34</f>
        <v>Furn_TEOS</v>
      </c>
      <c r="D31" s="211">
        <v>2.3114682982327595</v>
      </c>
      <c r="E31" s="268">
        <f t="shared" si="0"/>
        <v>3</v>
      </c>
      <c r="F31" s="52">
        <v>0.5</v>
      </c>
      <c r="G31" s="13">
        <v>0.3852447163721266</v>
      </c>
      <c r="P31" s="211" t="s">
        <v>273</v>
      </c>
      <c r="Q31">
        <v>2.2986691558473</v>
      </c>
    </row>
    <row r="32" spans="3:17" ht="13.5" thickBot="1">
      <c r="C32" s="106" t="str">
        <f>'Input Data'!I35</f>
        <v>Implant_HiE</v>
      </c>
      <c r="D32" s="211">
        <v>8.24086025096133</v>
      </c>
      <c r="E32" s="268">
        <f t="shared" si="0"/>
        <v>9</v>
      </c>
      <c r="F32" s="52">
        <v>0.37</v>
      </c>
      <c r="G32" s="13">
        <v>0.33879092142841016</v>
      </c>
      <c r="P32" s="211" t="s">
        <v>274</v>
      </c>
      <c r="Q32">
        <v>0.9338963241214775</v>
      </c>
    </row>
    <row r="33" spans="3:17" ht="13.5" thickBot="1">
      <c r="C33" s="106" t="str">
        <f>'Input Data'!I36</f>
        <v>Implant_LoE</v>
      </c>
      <c r="D33" s="211">
        <v>4.839368344797317</v>
      </c>
      <c r="E33" s="268">
        <f t="shared" si="0"/>
        <v>5</v>
      </c>
      <c r="F33" s="52">
        <v>0.42</v>
      </c>
      <c r="G33" s="13">
        <v>0.40650694096297463</v>
      </c>
      <c r="P33" s="213" t="s">
        <v>275</v>
      </c>
      <c r="Q33">
        <v>0.5483479323330688</v>
      </c>
    </row>
    <row r="34" spans="3:17" ht="12.75">
      <c r="C34" s="106" t="str">
        <f>'Input Data'!I37</f>
        <v>Insp_PLY</v>
      </c>
      <c r="D34" s="211">
        <v>22.857686811494858</v>
      </c>
      <c r="E34" s="268">
        <f t="shared" si="0"/>
        <v>23</v>
      </c>
      <c r="F34" s="52">
        <v>0.3</v>
      </c>
      <c r="G34" s="13">
        <v>0.29814374101949814</v>
      </c>
      <c r="P34" t="s">
        <v>276</v>
      </c>
      <c r="Q34">
        <v>8.079915369730582</v>
      </c>
    </row>
    <row r="35" spans="3:17" ht="12.75">
      <c r="C35" s="106" t="str">
        <f>'Input Data'!I38</f>
        <v>Insp_Visual</v>
      </c>
      <c r="D35" s="211">
        <v>1.280708827505918</v>
      </c>
      <c r="E35" s="268">
        <f t="shared" si="0"/>
        <v>2</v>
      </c>
      <c r="F35" s="52">
        <v>0.35</v>
      </c>
      <c r="G35" s="13">
        <v>0.22412404481353562</v>
      </c>
      <c r="P35" t="s">
        <v>277</v>
      </c>
      <c r="Q35">
        <v>0.9790546094217281</v>
      </c>
    </row>
    <row r="36" spans="3:17" ht="12.75">
      <c r="C36" s="106" t="str">
        <f>'Input Data'!I39</f>
        <v>Litho_248</v>
      </c>
      <c r="D36" s="211">
        <v>4.457758051655556</v>
      </c>
      <c r="E36" s="268">
        <f t="shared" si="0"/>
        <v>5</v>
      </c>
      <c r="F36" s="52">
        <v>0.8</v>
      </c>
      <c r="G36" s="13">
        <v>0.7132412882648891</v>
      </c>
      <c r="P36" t="s">
        <v>278</v>
      </c>
      <c r="Q36">
        <v>3.4565539735405184</v>
      </c>
    </row>
    <row r="37" spans="3:17" ht="12.75">
      <c r="C37" s="106" t="str">
        <f>'Input Data'!I40</f>
        <v>Litho_I</v>
      </c>
      <c r="D37" s="211">
        <v>11.156923242435665</v>
      </c>
      <c r="E37" s="268">
        <f t="shared" si="0"/>
        <v>12</v>
      </c>
      <c r="F37" s="52">
        <v>0.8</v>
      </c>
      <c r="G37" s="13">
        <v>0.7437948828290444</v>
      </c>
      <c r="P37" t="s">
        <v>279</v>
      </c>
      <c r="Q37">
        <v>4.339587835984517</v>
      </c>
    </row>
    <row r="38" spans="3:17" ht="12.75">
      <c r="C38" s="106" t="str">
        <f>'Input Data'!I41</f>
        <v>Litho_Iw</v>
      </c>
      <c r="D38" s="211">
        <v>10.613450228621712</v>
      </c>
      <c r="E38" s="268">
        <f t="shared" si="0"/>
        <v>11</v>
      </c>
      <c r="F38" s="52">
        <v>0.8</v>
      </c>
      <c r="G38" s="13">
        <v>0.7718872893543064</v>
      </c>
      <c r="P38" t="s">
        <v>280</v>
      </c>
      <c r="Q38">
        <v>2.165832946158681</v>
      </c>
    </row>
    <row r="39" spans="3:17" ht="12.75">
      <c r="C39" s="106" t="str">
        <f>'Input Data'!I42</f>
        <v>Meas_CD</v>
      </c>
      <c r="D39" s="211">
        <v>14.611860796447946</v>
      </c>
      <c r="E39" s="268">
        <f t="shared" si="0"/>
        <v>15</v>
      </c>
      <c r="F39" s="52">
        <v>0.35</v>
      </c>
      <c r="G39" s="13">
        <v>0.3409434185837854</v>
      </c>
      <c r="P39" t="s">
        <v>45</v>
      </c>
      <c r="Q39">
        <v>5.443568943068256</v>
      </c>
    </row>
    <row r="40" spans="3:17" ht="12.75">
      <c r="C40" s="106" t="str">
        <f>'Input Data'!I43</f>
        <v>Meas_Film</v>
      </c>
      <c r="D40" s="211">
        <v>11.129313035203756</v>
      </c>
      <c r="E40" s="268">
        <f t="shared" si="0"/>
        <v>12</v>
      </c>
      <c r="F40" s="52">
        <v>0.35</v>
      </c>
      <c r="G40" s="13">
        <v>0.3246049635267762</v>
      </c>
      <c r="P40" t="s">
        <v>46</v>
      </c>
      <c r="Q40">
        <v>7.926824705657712</v>
      </c>
    </row>
    <row r="41" spans="3:17" ht="12.75">
      <c r="C41" s="106" t="str">
        <f>'Input Data'!I44</f>
        <v>Meas_Overlay</v>
      </c>
      <c r="D41" s="211">
        <v>11.0692402729959</v>
      </c>
      <c r="E41" s="268">
        <f t="shared" si="0"/>
        <v>12</v>
      </c>
      <c r="F41" s="52">
        <v>0.3</v>
      </c>
      <c r="G41" s="13">
        <v>0.2767310068248975</v>
      </c>
      <c r="P41" t="s">
        <v>47</v>
      </c>
      <c r="Q41">
        <v>3.465069133182403</v>
      </c>
    </row>
    <row r="42" spans="3:17" ht="12.75">
      <c r="C42" s="106" t="str">
        <f>'Input Data'!I45</f>
        <v>PVD_Met</v>
      </c>
      <c r="D42" s="211">
        <v>1.131960884049695</v>
      </c>
      <c r="E42" s="268">
        <f t="shared" si="0"/>
        <v>2</v>
      </c>
      <c r="F42" s="52">
        <v>0.51</v>
      </c>
      <c r="G42" s="13">
        <v>0.28865002543267226</v>
      </c>
      <c r="P42" t="s">
        <v>282</v>
      </c>
      <c r="Q42">
        <v>1.1348936649973882</v>
      </c>
    </row>
    <row r="43" spans="3:17" ht="12.75">
      <c r="C43" s="106" t="str">
        <f>'Input Data'!I46</f>
        <v>PVD_Met(C) </v>
      </c>
      <c r="D43" s="211">
        <v>5.748523564361265</v>
      </c>
      <c r="E43" s="268">
        <f t="shared" si="0"/>
        <v>6</v>
      </c>
      <c r="F43" s="52">
        <v>0.51</v>
      </c>
      <c r="G43" s="13">
        <v>0.48862450297070753</v>
      </c>
      <c r="P43" t="s">
        <v>281</v>
      </c>
      <c r="Q43">
        <v>1.7023404974960825</v>
      </c>
    </row>
    <row r="44" spans="3:17" ht="12.75">
      <c r="C44" s="106" t="str">
        <f>'Input Data'!I47</f>
        <v>RTP_OxAn(C) </v>
      </c>
      <c r="D44" s="211">
        <v>2.416898466976984</v>
      </c>
      <c r="E44" s="268">
        <f t="shared" si="0"/>
        <v>3</v>
      </c>
      <c r="F44" s="52">
        <v>0.57</v>
      </c>
      <c r="G44" s="13">
        <v>0.4592107087256269</v>
      </c>
      <c r="P44" t="s">
        <v>283</v>
      </c>
      <c r="Q44">
        <v>2.437034817468076</v>
      </c>
    </row>
    <row r="45" spans="3:17" ht="12.75">
      <c r="C45" s="106" t="str">
        <f>'Input Data'!I48</f>
        <v>Test</v>
      </c>
      <c r="D45" s="211">
        <v>15.581868129584766</v>
      </c>
      <c r="E45" s="268">
        <f t="shared" si="0"/>
        <v>16</v>
      </c>
      <c r="F45" s="52">
        <v>0.39</v>
      </c>
      <c r="G45" s="13">
        <v>0.3798080356586287</v>
      </c>
      <c r="P45" t="s">
        <v>52</v>
      </c>
      <c r="Q45">
        <v>7.123640235675913</v>
      </c>
    </row>
    <row r="46" spans="3:17" ht="12.75">
      <c r="C46" s="106" t="str">
        <f>'Input Data'!I49</f>
        <v>VP_HF_Clean</v>
      </c>
      <c r="D46" s="211">
        <v>3.833845708490316</v>
      </c>
      <c r="E46" s="268">
        <f t="shared" si="0"/>
        <v>4</v>
      </c>
      <c r="F46" s="52">
        <v>0.45</v>
      </c>
      <c r="G46" s="13">
        <v>0.43130764220516055</v>
      </c>
      <c r="P46" t="s">
        <v>284</v>
      </c>
      <c r="Q46">
        <v>3.8552654115126535</v>
      </c>
    </row>
    <row r="47" spans="3:17" ht="12.75">
      <c r="C47" s="106" t="str">
        <f>'Input Data'!I50</f>
        <v>Wet_Bench</v>
      </c>
      <c r="D47" s="211">
        <v>8.479715918380998</v>
      </c>
      <c r="E47" s="268">
        <f t="shared" si="0"/>
        <v>9</v>
      </c>
      <c r="F47" s="52">
        <v>0.54</v>
      </c>
      <c r="G47" s="13">
        <v>0.50878295510286</v>
      </c>
      <c r="P47" t="s">
        <v>286</v>
      </c>
      <c r="Q47">
        <v>3.6013958969250455</v>
      </c>
    </row>
    <row r="48" spans="3:17" ht="13.5" thickBot="1">
      <c r="C48" s="106" t="str">
        <f>'Input Data'!I51</f>
        <v>Wet_Bench(I)</v>
      </c>
      <c r="D48" s="141">
        <v>9.451388784478164</v>
      </c>
      <c r="E48" s="269">
        <f t="shared" si="0"/>
        <v>10</v>
      </c>
      <c r="F48" s="53">
        <v>0.54</v>
      </c>
      <c r="G48" s="16">
        <v>0.5103749943618209</v>
      </c>
      <c r="P48" t="s">
        <v>285</v>
      </c>
      <c r="Q48">
        <v>5.135947711162875</v>
      </c>
    </row>
    <row r="49" spans="3:7" ht="13.5" thickBot="1">
      <c r="C49" s="129" t="s">
        <v>123</v>
      </c>
      <c r="D49" s="213">
        <f>SUM(D6:D48)</f>
        <v>273.71929262472605</v>
      </c>
      <c r="E49" s="212">
        <f>SUM(E6:E48)</f>
        <v>296</v>
      </c>
      <c r="F49" s="387"/>
      <c r="G49" s="388">
        <v>0</v>
      </c>
    </row>
  </sheetData>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6"/>
  <dimension ref="A1:G19"/>
  <sheetViews>
    <sheetView zoomScale="75" zoomScaleNormal="75" workbookViewId="0" topLeftCell="A1">
      <selection activeCell="I40" sqref="I40"/>
    </sheetView>
  </sheetViews>
  <sheetFormatPr defaultColWidth="9.140625" defaultRowHeight="12.75"/>
  <cols>
    <col min="3" max="3" width="15.00390625" style="0" customWidth="1"/>
    <col min="5" max="5" width="10.421875" style="0" customWidth="1"/>
    <col min="7" max="7" width="10.28125" style="0" customWidth="1"/>
  </cols>
  <sheetData>
    <row r="1" ht="15.75">
      <c r="A1" s="128" t="s">
        <v>216</v>
      </c>
    </row>
    <row r="2" ht="13.5" thickBot="1"/>
    <row r="3" spans="3:7" ht="16.5" thickBot="1">
      <c r="C3" s="197" t="s">
        <v>131</v>
      </c>
      <c r="D3" s="198"/>
      <c r="E3" s="198"/>
      <c r="F3" s="198"/>
      <c r="G3" s="199"/>
    </row>
    <row r="4" spans="3:7" ht="16.5" thickBot="1">
      <c r="C4" s="197" t="s">
        <v>81</v>
      </c>
      <c r="D4" s="220" t="s">
        <v>218</v>
      </c>
      <c r="E4" s="221" t="s">
        <v>219</v>
      </c>
      <c r="F4" s="219" t="s">
        <v>220</v>
      </c>
      <c r="G4" s="222" t="s">
        <v>221</v>
      </c>
    </row>
    <row r="5" spans="3:7" ht="15.75">
      <c r="C5" s="200" t="s">
        <v>86</v>
      </c>
      <c r="D5" s="201">
        <f>+'Expense Cost Calculation'!AF59</f>
        <v>511</v>
      </c>
      <c r="E5" s="201">
        <f>+'Expense Cost Calculation'!AG59</f>
        <v>410</v>
      </c>
      <c r="F5" s="201">
        <f>+'Expense Cost Calculation'!AH59</f>
        <v>366</v>
      </c>
      <c r="G5" s="202">
        <f>+'Expense Cost Calculation'!AI59</f>
        <v>285</v>
      </c>
    </row>
    <row r="6" spans="3:7" ht="15.75">
      <c r="C6" s="200" t="s">
        <v>87</v>
      </c>
      <c r="D6" s="201">
        <f>+'Expense Cost Calculation'!AF60</f>
        <v>31</v>
      </c>
      <c r="E6" s="201">
        <f>+'Expense Cost Calculation'!AG60</f>
        <v>25</v>
      </c>
      <c r="F6" s="201">
        <f>+'Expense Cost Calculation'!AH60</f>
        <v>23</v>
      </c>
      <c r="G6" s="202">
        <f>+'Expense Cost Calculation'!AI60</f>
        <v>17</v>
      </c>
    </row>
    <row r="7" spans="3:7" ht="15.75">
      <c r="C7" s="200" t="s">
        <v>88</v>
      </c>
      <c r="D7" s="201">
        <f>+'Expense Cost Calculation'!AF61</f>
        <v>15</v>
      </c>
      <c r="E7" s="201">
        <f>+'Expense Cost Calculation'!AG61</f>
        <v>15</v>
      </c>
      <c r="F7" s="201">
        <f>+'Expense Cost Calculation'!AH61</f>
        <v>15</v>
      </c>
      <c r="G7" s="202">
        <f>+'Expense Cost Calculation'!AI61</f>
        <v>15</v>
      </c>
    </row>
    <row r="8" spans="3:7" ht="15.75">
      <c r="C8" s="200" t="s">
        <v>233</v>
      </c>
      <c r="D8" s="201">
        <f>+'Expense Cost Calculation'!AF62</f>
        <v>15</v>
      </c>
      <c r="E8" s="201">
        <f>+'Expense Cost Calculation'!AG62</f>
        <v>14</v>
      </c>
      <c r="F8" s="201">
        <f>+'Expense Cost Calculation'!AH62</f>
        <v>13</v>
      </c>
      <c r="G8" s="202">
        <f>+'Expense Cost Calculation'!AI62</f>
        <v>12</v>
      </c>
    </row>
    <row r="9" spans="3:7" ht="15.75">
      <c r="C9" s="200" t="s">
        <v>75</v>
      </c>
      <c r="D9" s="201">
        <f>+'Expense Cost Calculation'!AF63</f>
        <v>84</v>
      </c>
      <c r="E9" s="201">
        <f>+'Expense Cost Calculation'!AG63</f>
        <v>90</v>
      </c>
      <c r="F9" s="201">
        <f>+'Expense Cost Calculation'!AH63</f>
        <v>93</v>
      </c>
      <c r="G9" s="202">
        <f>+'Expense Cost Calculation'!AI63</f>
        <v>97</v>
      </c>
    </row>
    <row r="10" spans="3:7" ht="16.5" thickBot="1">
      <c r="C10" s="203" t="s">
        <v>89</v>
      </c>
      <c r="D10" s="204">
        <f>+'Expense Cost Calculation'!AF64</f>
        <v>176</v>
      </c>
      <c r="E10" s="204">
        <f>+'Expense Cost Calculation'!AG64</f>
        <v>185</v>
      </c>
      <c r="F10" s="204">
        <f>+'Expense Cost Calculation'!AH64</f>
        <v>201</v>
      </c>
      <c r="G10" s="205">
        <f>+'Expense Cost Calculation'!AI64</f>
        <v>205</v>
      </c>
    </row>
    <row r="11" spans="3:7" ht="16.5" thickBot="1">
      <c r="C11" s="206"/>
      <c r="D11" s="206"/>
      <c r="E11" s="206"/>
      <c r="F11" s="206"/>
      <c r="G11" s="206"/>
    </row>
    <row r="12" spans="3:7" ht="16.5" thickBot="1">
      <c r="C12" s="197" t="s">
        <v>132</v>
      </c>
      <c r="D12" s="198"/>
      <c r="E12" s="198"/>
      <c r="F12" s="198"/>
      <c r="G12" s="199"/>
    </row>
    <row r="13" spans="3:7" ht="16.5" thickBot="1">
      <c r="C13" s="223" t="s">
        <v>81</v>
      </c>
      <c r="D13" s="220" t="s">
        <v>218</v>
      </c>
      <c r="E13" s="221" t="s">
        <v>219</v>
      </c>
      <c r="F13" s="219" t="s">
        <v>220</v>
      </c>
      <c r="G13" s="222" t="s">
        <v>221</v>
      </c>
    </row>
    <row r="14" spans="3:7" ht="15.75">
      <c r="C14" s="200" t="s">
        <v>86</v>
      </c>
      <c r="D14" s="201">
        <f>+'Expense Cost Calculation'!AF71</f>
        <v>511</v>
      </c>
      <c r="E14" s="201">
        <f>+'Expense Cost Calculation'!AG71</f>
        <v>410</v>
      </c>
      <c r="F14" s="201">
        <f>+'Expense Cost Calculation'!AH71</f>
        <v>366</v>
      </c>
      <c r="G14" s="202">
        <f>+'Expense Cost Calculation'!AI71</f>
        <v>285</v>
      </c>
    </row>
    <row r="15" spans="3:7" ht="15.75">
      <c r="C15" s="200" t="s">
        <v>87</v>
      </c>
      <c r="D15" s="201">
        <f>+'Expense Cost Calculation'!AF72</f>
        <v>31</v>
      </c>
      <c r="E15" s="201">
        <f>+'Expense Cost Calculation'!AG72</f>
        <v>25</v>
      </c>
      <c r="F15" s="201">
        <f>+'Expense Cost Calculation'!AH72</f>
        <v>23</v>
      </c>
      <c r="G15" s="202">
        <f>+'Expense Cost Calculation'!AI72</f>
        <v>17</v>
      </c>
    </row>
    <row r="16" spans="3:7" ht="15.75">
      <c r="C16" s="200" t="s">
        <v>88</v>
      </c>
      <c r="D16" s="201">
        <f>+'Expense Cost Calculation'!AF73</f>
        <v>15</v>
      </c>
      <c r="E16" s="201">
        <f>+'Expense Cost Calculation'!AG73</f>
        <v>15</v>
      </c>
      <c r="F16" s="201">
        <f>+'Expense Cost Calculation'!AH73</f>
        <v>15</v>
      </c>
      <c r="G16" s="202">
        <f>+'Expense Cost Calculation'!AI73</f>
        <v>15</v>
      </c>
    </row>
    <row r="17" spans="3:7" ht="15.75">
      <c r="C17" s="200" t="s">
        <v>233</v>
      </c>
      <c r="D17" s="201">
        <f>+'Expense Cost Calculation'!AF74</f>
        <v>15</v>
      </c>
      <c r="E17" s="201">
        <f>+'Expense Cost Calculation'!AG74</f>
        <v>14</v>
      </c>
      <c r="F17" s="201">
        <f>+'Expense Cost Calculation'!AH74</f>
        <v>13</v>
      </c>
      <c r="G17" s="202">
        <f>+'Expense Cost Calculation'!AI74</f>
        <v>12</v>
      </c>
    </row>
    <row r="18" spans="3:7" ht="15.75">
      <c r="C18" s="200" t="s">
        <v>75</v>
      </c>
      <c r="D18" s="201">
        <f>+'Expense Cost Calculation'!AF75</f>
        <v>85</v>
      </c>
      <c r="E18" s="201">
        <f>+'Expense Cost Calculation'!AG75</f>
        <v>91</v>
      </c>
      <c r="F18" s="201">
        <f>+'Expense Cost Calculation'!AH75</f>
        <v>93</v>
      </c>
      <c r="G18" s="202">
        <f>+'Expense Cost Calculation'!AI75</f>
        <v>98</v>
      </c>
    </row>
    <row r="19" spans="3:7" ht="16.5" thickBot="1">
      <c r="C19" s="203" t="s">
        <v>89</v>
      </c>
      <c r="D19" s="204">
        <f>+'Expense Cost Calculation'!AF76</f>
        <v>181</v>
      </c>
      <c r="E19" s="204">
        <f>+'Expense Cost Calculation'!AG76</f>
        <v>190</v>
      </c>
      <c r="F19" s="204">
        <f>+'Expense Cost Calculation'!AH76</f>
        <v>205</v>
      </c>
      <c r="G19" s="205">
        <f>+'Expense Cost Calculation'!AI76</f>
        <v>209</v>
      </c>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AE131"/>
  <sheetViews>
    <sheetView zoomScale="75" zoomScaleNormal="75" workbookViewId="0" topLeftCell="A1">
      <selection activeCell="C5" sqref="C5:J5"/>
    </sheetView>
  </sheetViews>
  <sheetFormatPr defaultColWidth="9.140625" defaultRowHeight="12.75"/>
  <cols>
    <col min="1" max="1" width="22.00390625" style="94" customWidth="1"/>
    <col min="2" max="2" width="20.421875" style="94" customWidth="1"/>
    <col min="3" max="3" width="13.00390625" style="94" customWidth="1"/>
    <col min="4" max="5" width="12.8515625" style="94" bestFit="1" customWidth="1"/>
    <col min="6" max="6" width="13.28125" style="94" customWidth="1"/>
    <col min="7" max="7" width="14.28125" style="94" customWidth="1"/>
    <col min="8" max="8" width="13.28125" style="94" customWidth="1"/>
    <col min="9" max="10" width="13.7109375" style="94" customWidth="1"/>
    <col min="11" max="11" width="12.57421875" style="94" bestFit="1" customWidth="1"/>
    <col min="12" max="13" width="12.57421875" style="0" bestFit="1" customWidth="1"/>
    <col min="15" max="15" width="17.140625" style="0" customWidth="1"/>
    <col min="34" max="34" width="12.140625" style="0" customWidth="1"/>
  </cols>
  <sheetData>
    <row r="1" spans="1:17" ht="16.5" thickBot="1">
      <c r="A1" s="128" t="s">
        <v>215</v>
      </c>
      <c r="N1" s="128" t="s">
        <v>217</v>
      </c>
      <c r="O1" s="94"/>
      <c r="P1" s="94"/>
      <c r="Q1" s="94"/>
    </row>
    <row r="2" spans="1:17" ht="13.5" thickBot="1">
      <c r="A2" s="157" t="s">
        <v>111</v>
      </c>
      <c r="B2" s="240"/>
      <c r="C2" s="157" t="s">
        <v>113</v>
      </c>
      <c r="D2" s="158"/>
      <c r="E2" s="158"/>
      <c r="F2" s="159"/>
      <c r="G2" s="157" t="s">
        <v>114</v>
      </c>
      <c r="H2" s="158"/>
      <c r="I2" s="158"/>
      <c r="J2" s="159"/>
      <c r="M2" s="94"/>
      <c r="N2" s="94"/>
      <c r="O2" s="94"/>
      <c r="P2" s="94"/>
      <c r="Q2" s="94"/>
    </row>
    <row r="3" spans="1:31" ht="13.5" thickBot="1">
      <c r="A3" s="157" t="s">
        <v>299</v>
      </c>
      <c r="B3" s="240" t="s">
        <v>308</v>
      </c>
      <c r="C3" s="278" t="s">
        <v>218</v>
      </c>
      <c r="D3" s="279" t="s">
        <v>219</v>
      </c>
      <c r="E3" s="279" t="s">
        <v>220</v>
      </c>
      <c r="F3" s="280" t="s">
        <v>221</v>
      </c>
      <c r="G3" s="278" t="s">
        <v>218</v>
      </c>
      <c r="H3" s="279" t="s">
        <v>219</v>
      </c>
      <c r="I3" s="279" t="s">
        <v>220</v>
      </c>
      <c r="J3" s="280" t="s">
        <v>221</v>
      </c>
      <c r="M3" s="94"/>
      <c r="N3" s="94"/>
      <c r="O3" s="165"/>
      <c r="P3" s="339" t="s">
        <v>316</v>
      </c>
      <c r="Q3" s="340"/>
      <c r="R3" s="341" t="s">
        <v>357</v>
      </c>
      <c r="S3" s="340"/>
      <c r="T3" s="339" t="s">
        <v>303</v>
      </c>
      <c r="U3" s="340"/>
      <c r="V3" s="339" t="s">
        <v>304</v>
      </c>
      <c r="W3" s="340"/>
      <c r="X3" s="341" t="s">
        <v>305</v>
      </c>
      <c r="Y3" s="340"/>
      <c r="Z3" s="339" t="s">
        <v>306</v>
      </c>
      <c r="AA3" s="340"/>
      <c r="AB3" s="339" t="s">
        <v>307</v>
      </c>
      <c r="AC3" s="340"/>
      <c r="AD3" s="339" t="s">
        <v>358</v>
      </c>
      <c r="AE3" s="340"/>
    </row>
    <row r="4" spans="1:31" ht="12.75">
      <c r="A4" s="324">
        <f>A0T</f>
        <v>0</v>
      </c>
      <c r="B4" s="70">
        <f aca="true" t="shared" si="0" ref="B4:B10">(A5-A4)*C19/30</f>
        <v>60000</v>
      </c>
      <c r="C4" s="90">
        <v>1741.9640498754316</v>
      </c>
      <c r="D4" s="52">
        <v>1718.9072746289564</v>
      </c>
      <c r="E4" s="52">
        <v>1714.5260682740336</v>
      </c>
      <c r="F4" s="275">
        <v>1698.9531817923446</v>
      </c>
      <c r="G4" s="90">
        <v>1873.0627599890388</v>
      </c>
      <c r="H4" s="52">
        <v>1849.2991253926539</v>
      </c>
      <c r="I4" s="52">
        <v>1845.624623305157</v>
      </c>
      <c r="J4" s="275">
        <v>1829.645194735414</v>
      </c>
      <c r="M4" s="94"/>
      <c r="N4" s="94"/>
      <c r="O4" s="161"/>
      <c r="P4" s="342" t="s">
        <v>59</v>
      </c>
      <c r="Q4" s="343" t="s">
        <v>315</v>
      </c>
      <c r="R4" s="342" t="s">
        <v>59</v>
      </c>
      <c r="S4" s="343" t="s">
        <v>315</v>
      </c>
      <c r="T4" s="342"/>
      <c r="U4" s="343"/>
      <c r="V4" s="342"/>
      <c r="W4" s="343"/>
      <c r="X4" s="342"/>
      <c r="Y4" s="343"/>
      <c r="Z4" s="342"/>
      <c r="AA4" s="343"/>
      <c r="AB4" s="342"/>
      <c r="AC4" s="343"/>
      <c r="AD4" s="342"/>
      <c r="AE4" s="343"/>
    </row>
    <row r="5" spans="1:31" ht="13.5" thickBot="1">
      <c r="A5" s="325">
        <f>IF((A1T=0),LIFE,A1T)</f>
        <v>120</v>
      </c>
      <c r="B5" s="70">
        <f t="shared" si="0"/>
        <v>1400000</v>
      </c>
      <c r="C5" s="90">
        <v>1321.6111839357948</v>
      </c>
      <c r="D5" s="52">
        <v>1304.0820738033158</v>
      </c>
      <c r="E5" s="52">
        <v>1299.684296073408</v>
      </c>
      <c r="F5" s="275">
        <v>1284.0897562719513</v>
      </c>
      <c r="G5" s="90">
        <v>1403.1828988894483</v>
      </c>
      <c r="H5" s="52">
        <v>1385.655028476265</v>
      </c>
      <c r="I5" s="52">
        <v>1380.5926990455052</v>
      </c>
      <c r="J5" s="275">
        <v>1365.416851319898</v>
      </c>
      <c r="M5" s="94"/>
      <c r="N5" s="94"/>
      <c r="O5" s="167" t="s">
        <v>61</v>
      </c>
      <c r="P5" s="344" t="s">
        <v>62</v>
      </c>
      <c r="Q5" s="345" t="s">
        <v>203</v>
      </c>
      <c r="R5" s="344" t="s">
        <v>62</v>
      </c>
      <c r="S5" s="345" t="s">
        <v>203</v>
      </c>
      <c r="T5" s="344"/>
      <c r="U5" s="345"/>
      <c r="V5" s="344"/>
      <c r="W5" s="345"/>
      <c r="X5" s="344"/>
      <c r="Y5" s="345"/>
      <c r="Z5" s="344"/>
      <c r="AA5" s="345"/>
      <c r="AB5" s="344"/>
      <c r="AC5" s="345"/>
      <c r="AD5" s="344"/>
      <c r="AE5" s="345"/>
    </row>
    <row r="6" spans="1:31" ht="12.75">
      <c r="A6" s="325">
        <f>IF((A2T=0),LIFE,A2T)</f>
        <v>1800</v>
      </c>
      <c r="B6" s="70">
        <f t="shared" si="0"/>
        <v>0</v>
      </c>
      <c r="C6" s="90"/>
      <c r="D6" s="52"/>
      <c r="E6" s="52"/>
      <c r="F6" s="275"/>
      <c r="G6" s="90"/>
      <c r="H6" s="52"/>
      <c r="I6" s="52"/>
      <c r="J6" s="275"/>
      <c r="M6" s="94"/>
      <c r="N6" s="94"/>
      <c r="O6" s="161" t="s">
        <v>251</v>
      </c>
      <c r="P6" s="90">
        <v>2</v>
      </c>
      <c r="Q6" s="275">
        <v>0.1722974619532534</v>
      </c>
      <c r="R6" s="90">
        <v>3</v>
      </c>
      <c r="S6" s="275">
        <v>0.19144162439250376</v>
      </c>
      <c r="T6" s="90"/>
      <c r="U6" s="275"/>
      <c r="V6" s="90"/>
      <c r="W6" s="275"/>
      <c r="X6" s="90"/>
      <c r="Y6" s="275"/>
      <c r="Z6" s="90"/>
      <c r="AA6" s="275"/>
      <c r="AB6" s="90"/>
      <c r="AC6" s="275"/>
      <c r="AD6" s="90"/>
      <c r="AE6" s="275"/>
    </row>
    <row r="7" spans="1:31" ht="12.75">
      <c r="A7" s="325">
        <f>IF((A3T=0),LIFE,A3T)</f>
        <v>1800</v>
      </c>
      <c r="B7" s="70">
        <f t="shared" si="0"/>
        <v>0</v>
      </c>
      <c r="C7" s="90"/>
      <c r="D7" s="52"/>
      <c r="E7" s="52"/>
      <c r="F7" s="275"/>
      <c r="G7" s="90"/>
      <c r="H7" s="52"/>
      <c r="I7" s="52"/>
      <c r="J7" s="275"/>
      <c r="M7" s="94"/>
      <c r="N7" s="94"/>
      <c r="O7" s="161" t="s">
        <v>249</v>
      </c>
      <c r="P7" s="90">
        <v>15</v>
      </c>
      <c r="Q7" s="275">
        <v>0.22913740279394385</v>
      </c>
      <c r="R7" s="90">
        <v>17</v>
      </c>
      <c r="S7" s="275">
        <v>0.22919454883902368</v>
      </c>
      <c r="T7" s="90"/>
      <c r="U7" s="275"/>
      <c r="V7" s="90"/>
      <c r="W7" s="275"/>
      <c r="X7" s="90"/>
      <c r="Y7" s="275"/>
      <c r="Z7" s="90"/>
      <c r="AA7" s="275"/>
      <c r="AB7" s="90"/>
      <c r="AC7" s="275"/>
      <c r="AD7" s="90"/>
      <c r="AE7" s="275"/>
    </row>
    <row r="8" spans="1:31" ht="12.75">
      <c r="A8" s="325">
        <f>IF((A4T=0),LIFE,A4T)</f>
        <v>1800</v>
      </c>
      <c r="B8" s="70">
        <f t="shared" si="0"/>
        <v>0</v>
      </c>
      <c r="C8" s="90"/>
      <c r="D8" s="52"/>
      <c r="E8" s="52"/>
      <c r="F8" s="275"/>
      <c r="G8" s="90"/>
      <c r="H8" s="52"/>
      <c r="I8" s="52"/>
      <c r="J8" s="275"/>
      <c r="M8" s="94"/>
      <c r="N8" s="94"/>
      <c r="O8" s="161" t="s">
        <v>250</v>
      </c>
      <c r="P8" s="90">
        <v>2</v>
      </c>
      <c r="Q8" s="275">
        <v>0.17343179638827483</v>
      </c>
      <c r="R8" s="90">
        <v>3</v>
      </c>
      <c r="S8" s="275">
        <v>0.19270199598697202</v>
      </c>
      <c r="T8" s="90"/>
      <c r="U8" s="275"/>
      <c r="V8" s="90"/>
      <c r="W8" s="275"/>
      <c r="X8" s="90"/>
      <c r="Y8" s="275"/>
      <c r="Z8" s="90"/>
      <c r="AA8" s="275"/>
      <c r="AB8" s="90"/>
      <c r="AC8" s="275"/>
      <c r="AD8" s="90"/>
      <c r="AE8" s="275"/>
    </row>
    <row r="9" spans="1:31" ht="12.75">
      <c r="A9" s="325">
        <f>IF((A5T=0),LIFE,A5T)</f>
        <v>1800</v>
      </c>
      <c r="B9" s="70">
        <f t="shared" si="0"/>
        <v>0</v>
      </c>
      <c r="C9" s="90"/>
      <c r="D9" s="52"/>
      <c r="E9" s="52"/>
      <c r="F9" s="275"/>
      <c r="G9" s="90"/>
      <c r="H9" s="52"/>
      <c r="I9" s="52"/>
      <c r="J9" s="275"/>
      <c r="M9" s="94"/>
      <c r="N9" s="94"/>
      <c r="O9" s="161" t="s">
        <v>252</v>
      </c>
      <c r="P9" s="90">
        <v>8</v>
      </c>
      <c r="Q9" s="275">
        <v>0.214929484843836</v>
      </c>
      <c r="R9" s="90">
        <v>9</v>
      </c>
      <c r="S9" s="275">
        <v>0.21649102603554354</v>
      </c>
      <c r="T9" s="90"/>
      <c r="U9" s="275"/>
      <c r="V9" s="90"/>
      <c r="W9" s="275"/>
      <c r="X9" s="90"/>
      <c r="Y9" s="275"/>
      <c r="Z9" s="90"/>
      <c r="AA9" s="275"/>
      <c r="AB9" s="90"/>
      <c r="AC9" s="275"/>
      <c r="AD9" s="90"/>
      <c r="AE9" s="275"/>
    </row>
    <row r="10" spans="1:31" ht="12.75">
      <c r="A10" s="325">
        <f>IF((A6T=0),LIFE,A6T)</f>
        <v>1800</v>
      </c>
      <c r="B10" s="70">
        <f t="shared" si="0"/>
        <v>0</v>
      </c>
      <c r="C10" s="90"/>
      <c r="D10" s="52"/>
      <c r="E10" s="52"/>
      <c r="F10" s="275"/>
      <c r="G10" s="90"/>
      <c r="H10" s="52"/>
      <c r="I10" s="52"/>
      <c r="J10" s="275"/>
      <c r="M10" s="94"/>
      <c r="N10" s="94"/>
      <c r="O10" s="161" t="s">
        <v>255</v>
      </c>
      <c r="P10" s="90">
        <v>3</v>
      </c>
      <c r="Q10" s="275">
        <v>0.4448649710581946</v>
      </c>
      <c r="R10" s="90">
        <v>4</v>
      </c>
      <c r="S10" s="275">
        <v>0.5560812138227431</v>
      </c>
      <c r="T10" s="90"/>
      <c r="U10" s="275"/>
      <c r="V10" s="90"/>
      <c r="W10" s="275"/>
      <c r="X10" s="90"/>
      <c r="Y10" s="275"/>
      <c r="Z10" s="90"/>
      <c r="AA10" s="275"/>
      <c r="AB10" s="90"/>
      <c r="AC10" s="275"/>
      <c r="AD10" s="90"/>
      <c r="AE10" s="275"/>
    </row>
    <row r="11" spans="1:31" ht="13.5" thickBot="1">
      <c r="A11" s="325">
        <f>IF((A7T=0),LIFE,A7T)</f>
        <v>1800</v>
      </c>
      <c r="B11" s="70">
        <f>(LIFE-A11)*C26/30</f>
        <v>0</v>
      </c>
      <c r="C11" s="90"/>
      <c r="D11" s="52"/>
      <c r="E11" s="52"/>
      <c r="F11" s="275"/>
      <c r="G11" s="90"/>
      <c r="H11" s="52"/>
      <c r="I11" s="52"/>
      <c r="J11" s="275"/>
      <c r="M11" s="94"/>
      <c r="N11" s="94"/>
      <c r="O11" s="161" t="s">
        <v>253</v>
      </c>
      <c r="P11" s="90">
        <v>7</v>
      </c>
      <c r="Q11" s="275">
        <v>0.6078434552669533</v>
      </c>
      <c r="R11" s="90">
        <v>9</v>
      </c>
      <c r="S11" s="275">
        <v>0.5843318691758677</v>
      </c>
      <c r="T11" s="90"/>
      <c r="U11" s="275"/>
      <c r="V11" s="90"/>
      <c r="W11" s="275"/>
      <c r="X11" s="90"/>
      <c r="Y11" s="275"/>
      <c r="Z11" s="90"/>
      <c r="AA11" s="275"/>
      <c r="AB11" s="90"/>
      <c r="AC11" s="275"/>
      <c r="AD11" s="90"/>
      <c r="AE11" s="275"/>
    </row>
    <row r="12" spans="1:31" ht="13.5" thickBot="1">
      <c r="A12" s="157" t="s">
        <v>300</v>
      </c>
      <c r="B12" s="244">
        <f>SUM(B4:B11)</f>
        <v>1460000</v>
      </c>
      <c r="C12" s="281">
        <f>SUMPRODUCT($B4:$B11,C4:C11)</f>
        <v>1954773500.5026386</v>
      </c>
      <c r="D12" s="281">
        <f aca="true" t="shared" si="1" ref="D12:J12">SUMPRODUCT($B4:$B11,D4:D11)</f>
        <v>1928849339.8023796</v>
      </c>
      <c r="E12" s="281">
        <f t="shared" si="1"/>
        <v>1922429578.5992131</v>
      </c>
      <c r="F12" s="281">
        <f t="shared" si="1"/>
        <v>1899662849.6882725</v>
      </c>
      <c r="G12" s="281">
        <f t="shared" si="1"/>
        <v>2076839824.04457</v>
      </c>
      <c r="H12" s="281">
        <f t="shared" si="1"/>
        <v>2050874987.3903303</v>
      </c>
      <c r="I12" s="281">
        <f t="shared" si="1"/>
        <v>2043567256.0620167</v>
      </c>
      <c r="J12" s="281">
        <f t="shared" si="1"/>
        <v>2021362303.531982</v>
      </c>
      <c r="M12" s="94"/>
      <c r="N12" s="94"/>
      <c r="O12" s="161" t="s">
        <v>254</v>
      </c>
      <c r="P12" s="90">
        <v>1</v>
      </c>
      <c r="Q12" s="275">
        <v>0.41630083628438086</v>
      </c>
      <c r="R12" s="90">
        <v>2</v>
      </c>
      <c r="S12" s="275">
        <v>0.34691736357031744</v>
      </c>
      <c r="T12" s="90"/>
      <c r="U12" s="275"/>
      <c r="V12" s="90"/>
      <c r="W12" s="275"/>
      <c r="X12" s="90"/>
      <c r="Y12" s="275"/>
      <c r="Z12" s="90"/>
      <c r="AA12" s="275"/>
      <c r="AB12" s="90"/>
      <c r="AC12" s="275"/>
      <c r="AD12" s="90"/>
      <c r="AE12" s="275"/>
    </row>
    <row r="13" spans="13:31" ht="12.75">
      <c r="M13" s="94"/>
      <c r="N13" s="94"/>
      <c r="O13" s="161" t="s">
        <v>256</v>
      </c>
      <c r="P13" s="90">
        <v>2</v>
      </c>
      <c r="Q13" s="275">
        <v>0.5152325174955245</v>
      </c>
      <c r="R13" s="90">
        <v>2</v>
      </c>
      <c r="S13" s="275">
        <v>0.5835876230763166</v>
      </c>
      <c r="T13" s="90"/>
      <c r="U13" s="275"/>
      <c r="V13" s="90"/>
      <c r="W13" s="275"/>
      <c r="X13" s="90"/>
      <c r="Y13" s="275"/>
      <c r="Z13" s="90"/>
      <c r="AA13" s="275"/>
      <c r="AB13" s="90"/>
      <c r="AC13" s="275"/>
      <c r="AD13" s="90"/>
      <c r="AE13" s="275"/>
    </row>
    <row r="14" spans="5:31" ht="12.75">
      <c r="E14" s="81"/>
      <c r="F14" s="164"/>
      <c r="I14" s="81"/>
      <c r="J14" s="81"/>
      <c r="K14" s="81"/>
      <c r="M14" s="81"/>
      <c r="N14" s="94"/>
      <c r="O14" s="161" t="s">
        <v>258</v>
      </c>
      <c r="P14" s="90">
        <v>4</v>
      </c>
      <c r="Q14" s="275">
        <v>0.429386139109309</v>
      </c>
      <c r="R14" s="90">
        <v>5</v>
      </c>
      <c r="S14" s="275">
        <v>0.3890272104567588</v>
      </c>
      <c r="T14" s="90"/>
      <c r="U14" s="275"/>
      <c r="V14" s="90"/>
      <c r="W14" s="275"/>
      <c r="X14" s="90"/>
      <c r="Y14" s="275"/>
      <c r="Z14" s="90"/>
      <c r="AA14" s="275"/>
      <c r="AB14" s="90"/>
      <c r="AC14" s="275"/>
      <c r="AD14" s="90"/>
      <c r="AE14" s="275"/>
    </row>
    <row r="15" spans="2:31" ht="12.75">
      <c r="B15" s="164"/>
      <c r="C15" s="164"/>
      <c r="D15" s="164"/>
      <c r="E15" s="81"/>
      <c r="I15" s="81"/>
      <c r="J15" s="81"/>
      <c r="K15" s="81"/>
      <c r="M15" s="81"/>
      <c r="N15" s="94"/>
      <c r="O15" s="161" t="s">
        <v>257</v>
      </c>
      <c r="P15" s="90">
        <v>2</v>
      </c>
      <c r="Q15" s="275">
        <v>0.2840510639170767</v>
      </c>
      <c r="R15" s="90">
        <v>2</v>
      </c>
      <c r="S15" s="275">
        <v>0.2840510639170767</v>
      </c>
      <c r="T15" s="90"/>
      <c r="U15" s="275"/>
      <c r="V15" s="90"/>
      <c r="W15" s="275"/>
      <c r="X15" s="90"/>
      <c r="Y15" s="275"/>
      <c r="Z15" s="90"/>
      <c r="AA15" s="275"/>
      <c r="AB15" s="90"/>
      <c r="AC15" s="275"/>
      <c r="AD15" s="90"/>
      <c r="AE15" s="275"/>
    </row>
    <row r="16" spans="1:31" ht="15.75">
      <c r="A16" s="128" t="s">
        <v>302</v>
      </c>
      <c r="C16" s="156"/>
      <c r="D16" s="164"/>
      <c r="E16" s="164"/>
      <c r="I16" s="81"/>
      <c r="J16" s="81"/>
      <c r="K16" s="81"/>
      <c r="M16" s="81"/>
      <c r="N16" s="94"/>
      <c r="O16" s="161" t="s">
        <v>260</v>
      </c>
      <c r="P16" s="90">
        <v>4</v>
      </c>
      <c r="Q16" s="275">
        <v>0.3679184523018134</v>
      </c>
      <c r="R16" s="90">
        <v>4</v>
      </c>
      <c r="S16" s="275">
        <v>0.4166175525707643</v>
      </c>
      <c r="T16" s="90"/>
      <c r="U16" s="275"/>
      <c r="V16" s="90"/>
      <c r="W16" s="275"/>
      <c r="X16" s="90"/>
      <c r="Y16" s="275"/>
      <c r="Z16" s="90"/>
      <c r="AA16" s="275"/>
      <c r="AB16" s="90"/>
      <c r="AC16" s="275"/>
      <c r="AD16" s="90"/>
      <c r="AE16" s="275"/>
    </row>
    <row r="17" spans="3:31" ht="13.5" thickBot="1">
      <c r="C17"/>
      <c r="D17"/>
      <c r="I17" s="81"/>
      <c r="J17" s="81"/>
      <c r="K17" s="81"/>
      <c r="L17" s="81"/>
      <c r="M17" s="81"/>
      <c r="N17" s="94"/>
      <c r="O17" s="161" t="s">
        <v>259</v>
      </c>
      <c r="P17" s="90">
        <v>2</v>
      </c>
      <c r="Q17" s="275">
        <v>0.24514663945834358</v>
      </c>
      <c r="R17" s="90">
        <v>2</v>
      </c>
      <c r="S17" s="275">
        <v>0.24514663945834358</v>
      </c>
      <c r="T17" s="90"/>
      <c r="U17" s="275"/>
      <c r="V17" s="90"/>
      <c r="W17" s="275"/>
      <c r="X17" s="90"/>
      <c r="Y17" s="275"/>
      <c r="Z17" s="90"/>
      <c r="AA17" s="275"/>
      <c r="AB17" s="90"/>
      <c r="AC17" s="275"/>
      <c r="AD17" s="90"/>
      <c r="AE17" s="275"/>
    </row>
    <row r="18" spans="2:31" ht="13.5" thickBot="1">
      <c r="B18" s="157" t="s">
        <v>299</v>
      </c>
      <c r="C18" s="240" t="s">
        <v>301</v>
      </c>
      <c r="D18" s="240" t="s">
        <v>352</v>
      </c>
      <c r="E18" s="240" t="s">
        <v>298</v>
      </c>
      <c r="F18" s="300" t="s">
        <v>297</v>
      </c>
      <c r="H18" s="328"/>
      <c r="I18" s="329"/>
      <c r="J18" s="335"/>
      <c r="K18" s="81"/>
      <c r="L18" s="81"/>
      <c r="M18" s="81"/>
      <c r="N18" s="94"/>
      <c r="O18" s="161" t="s">
        <v>264</v>
      </c>
      <c r="P18" s="90">
        <v>2</v>
      </c>
      <c r="Q18" s="275">
        <v>0.41649447116409627</v>
      </c>
      <c r="R18" s="90">
        <v>3</v>
      </c>
      <c r="S18" s="275">
        <v>0.46277163462677356</v>
      </c>
      <c r="T18" s="90"/>
      <c r="U18" s="275"/>
      <c r="V18" s="90"/>
      <c r="W18" s="275"/>
      <c r="X18" s="90"/>
      <c r="Y18" s="275"/>
      <c r="Z18" s="90"/>
      <c r="AA18" s="275"/>
      <c r="AB18" s="90"/>
      <c r="AC18" s="275"/>
      <c r="AD18" s="90"/>
      <c r="AE18" s="275"/>
    </row>
    <row r="19" spans="2:31" ht="15.75">
      <c r="B19" s="324">
        <f>A0T</f>
        <v>0</v>
      </c>
      <c r="C19" s="248">
        <f>A0W</f>
        <v>15000</v>
      </c>
      <c r="D19" s="248">
        <v>37.549919066333324</v>
      </c>
      <c r="E19" s="207">
        <f>A0W/30*((Y0+(YF-Y0)/(1-EXP(-b*RT)))*(A1T-A0T)+(YF-Y0)/b/(1-EXP(-b*RT))*(EXP(-b*A1T)-EXP(-b*A0T)))</f>
        <v>48086.77044053771</v>
      </c>
      <c r="F19" s="69">
        <f>R0*A0W/30*EXP(-a*(D19+VT))*((YF-Y0*EXP(-b*RT))/a/(1-EXP(-b*RT))*(EXP(-a*A0T)-EXP(-a*A1T))+(YF-Y0)/(a+b)/(1-EXP(-b*RT))*(EXP(-(a+b)*A1T)-EXP(-(a+b)*A0T)))</f>
        <v>402599516.7255126</v>
      </c>
      <c r="H19" s="330" t="s">
        <v>309</v>
      </c>
      <c r="I19" s="331"/>
      <c r="J19" s="336">
        <f>+PC_FT*YF*R0/30*(1-EXP(-a*LIFE))/a</f>
        <v>7555846709.875661</v>
      </c>
      <c r="K19" s="81"/>
      <c r="L19" s="81"/>
      <c r="M19" s="81"/>
      <c r="N19" s="94"/>
      <c r="O19" s="161" t="s">
        <v>261</v>
      </c>
      <c r="P19" s="90">
        <v>2</v>
      </c>
      <c r="Q19" s="275">
        <v>0.4083755321316912</v>
      </c>
      <c r="R19" s="90">
        <v>3</v>
      </c>
      <c r="S19" s="275">
        <v>0.4537505912574346</v>
      </c>
      <c r="T19" s="90"/>
      <c r="U19" s="275"/>
      <c r="V19" s="90"/>
      <c r="W19" s="275"/>
      <c r="X19" s="90"/>
      <c r="Y19" s="275"/>
      <c r="Z19" s="90"/>
      <c r="AA19" s="275"/>
      <c r="AB19" s="90"/>
      <c r="AC19" s="275"/>
      <c r="AD19" s="90"/>
      <c r="AE19" s="275"/>
    </row>
    <row r="20" spans="2:31" ht="12.75">
      <c r="B20" s="325">
        <f>A1T</f>
        <v>120</v>
      </c>
      <c r="C20" s="249">
        <f>A1W</f>
        <v>25000</v>
      </c>
      <c r="D20" s="249">
        <v>37.549919066333324</v>
      </c>
      <c r="E20" s="301">
        <f>IF((A1T&gt;=RT),A1W*(IF((A2T&gt;0),A2T,LIFE)-A1T)*YF/30,A1W/30*((Y0+(YF-Y0)/(1-EXP(-b*RT)))*(A2T-A1T)+(YF-Y0)/b/(1-EXP(-b*RT))*(EXP(-b*A2T)-EXP(-b*A1T))))</f>
        <v>1330000</v>
      </c>
      <c r="F20" s="70">
        <f>IF((A1T&gt;=RT),R0*A1W/30*EXP(-a*(D20+VT))*YF*(EXP(-a*A1T)-EXP(-a*IF((A2T&gt;0),A2T,LIFE)))/a,R0*A1W/30*EXP(-a*(D20+VT))*((YF-Y0*EXP(-b*RT))/a/(1-EXP(-b*RT))*(EXP(-a*A1T)-EXP(-a*IF((A2T&gt;0),A2T,LIFE)))+(YF-Y0)/(a+b)/(1-EXP(-b*RT))*(EXP(-(a+b)*IF((A2T&gt;0),A2T,LIFE))-EXP(-(a+b)*A1T))))</f>
        <v>5863297993.804607</v>
      </c>
      <c r="H20" s="332"/>
      <c r="I20" s="333"/>
      <c r="J20" s="337"/>
      <c r="K20" s="81"/>
      <c r="L20" s="81"/>
      <c r="M20" s="81"/>
      <c r="N20" s="94"/>
      <c r="O20" s="161" t="s">
        <v>262</v>
      </c>
      <c r="P20" s="90">
        <v>11</v>
      </c>
      <c r="Q20" s="275">
        <v>0.5158763531017106</v>
      </c>
      <c r="R20" s="90">
        <v>13</v>
      </c>
      <c r="S20" s="275">
        <v>0.5161336312733582</v>
      </c>
      <c r="T20" s="90"/>
      <c r="U20" s="275"/>
      <c r="V20" s="90"/>
      <c r="W20" s="275"/>
      <c r="X20" s="90"/>
      <c r="Y20" s="275"/>
      <c r="Z20" s="90"/>
      <c r="AA20" s="275"/>
      <c r="AB20" s="90"/>
      <c r="AC20" s="275"/>
      <c r="AD20" s="90"/>
      <c r="AE20" s="275"/>
    </row>
    <row r="21" spans="2:31" ht="15.75">
      <c r="B21" s="325">
        <f>A2T</f>
        <v>0</v>
      </c>
      <c r="C21" s="249">
        <f>A2W</f>
        <v>0</v>
      </c>
      <c r="D21" s="249"/>
      <c r="E21" s="301">
        <f>IF((A2T&gt;=RT),A2W*(IF((A3T&gt;0),A3T,LIFE)-A2T)*YF/30,A2W/30*((Y0+(YF-Y0)/(1-EXP(-b*RT)))*(A3T-A2T)+(YF-Y0)/b/(1-EXP(-b*RT))*(EXP(-b*A3T)-EXP(-b*A2T))))</f>
        <v>0</v>
      </c>
      <c r="F21" s="70">
        <f>IF((A2T&gt;=RT),R0*A2W/30*EXP(-a*(D21+VT))*YF*(EXP(-a*A2T)-EXP(-a*IF((A3T&gt;0),A3T,LIFE)))/a,R0*A2W/30*EXP(-a*(D21+VT))*((YF-Y0*EXP(-b*RT))/a/(1-EXP(-b*RT))*(EXP(-a*A2T)-EXP(-a*IF((A3T&gt;0),A3T,LIFE)))+(YF-Y0)/(a+b)/(1-EXP(-b*RT))*(EXP(-(a+b)*IF((A3T&gt;0),A3T,LIFE))-EXP(-(a+b)*A2T))))</f>
        <v>0</v>
      </c>
      <c r="H21" s="330" t="s">
        <v>319</v>
      </c>
      <c r="I21" s="331"/>
      <c r="J21" s="336">
        <f>J19-PC_TR</f>
        <v>1289949199.345541</v>
      </c>
      <c r="K21" s="81"/>
      <c r="L21" s="81"/>
      <c r="M21" s="81"/>
      <c r="N21" s="94"/>
      <c r="O21" s="161" t="s">
        <v>263</v>
      </c>
      <c r="P21" s="90">
        <v>6</v>
      </c>
      <c r="Q21" s="275">
        <v>0.5052326098659311</v>
      </c>
      <c r="R21" s="90">
        <v>9</v>
      </c>
      <c r="S21" s="275">
        <v>0.49987867224819055</v>
      </c>
      <c r="T21" s="90"/>
      <c r="U21" s="275"/>
      <c r="V21" s="90"/>
      <c r="W21" s="275"/>
      <c r="X21" s="90"/>
      <c r="Y21" s="275"/>
      <c r="Z21" s="90"/>
      <c r="AA21" s="275"/>
      <c r="AB21" s="90"/>
      <c r="AC21" s="275"/>
      <c r="AD21" s="90"/>
      <c r="AE21" s="275"/>
    </row>
    <row r="22" spans="2:31" ht="12.75">
      <c r="B22" s="325">
        <f>A3T</f>
        <v>0</v>
      </c>
      <c r="C22" s="249">
        <f>A3W</f>
        <v>0</v>
      </c>
      <c r="D22" s="249"/>
      <c r="E22" s="301">
        <f>IF((A3T&gt;=RT),A3W*(IF((A4T&gt;0),A4T,LIFE)-A3T)*YF/30,A3W/30*((Y0+(YF-Y0)/(1-EXP(-b*RT)))*(A4T-A3T)+(YF-Y0)/b/(1-EXP(-b*RT))*(EXP(-b*A4T)-EXP(-b*A3T))))</f>
        <v>0</v>
      </c>
      <c r="F22" s="70">
        <f>IF((A3T&gt;=RT),R0*A3W/30*EXP(-a*(D22+VT))*YF*(EXP(-a*A3T)-EXP(-a*IF((A4T&gt;0),A4T,LIFE)))/a,R0*A3W/30*EXP(-a*(D22+VT))*((YF-Y0*EXP(-b*RT))/a/(1-EXP(-b*RT))*(EXP(-a*A3T)-EXP(-a*IF((A4T&gt;0),A4T,LIFE)))+(YF-Y0)/(a+b)/(1-EXP(-b*RT))*(EXP(-(a+b)*IF((A4T&gt;0),A4T,LIFE))-EXP(-(a+b)*A3T))))</f>
        <v>0</v>
      </c>
      <c r="H22" s="332"/>
      <c r="I22" s="333"/>
      <c r="J22" s="338"/>
      <c r="K22" s="81"/>
      <c r="L22" s="81"/>
      <c r="M22" s="81"/>
      <c r="N22" s="94"/>
      <c r="O22" s="161" t="s">
        <v>265</v>
      </c>
      <c r="P22" s="90">
        <v>6</v>
      </c>
      <c r="Q22" s="275">
        <v>0.5719433035790625</v>
      </c>
      <c r="R22" s="90">
        <v>7</v>
      </c>
      <c r="S22" s="275">
        <v>0.555142416594071</v>
      </c>
      <c r="T22" s="90"/>
      <c r="U22" s="275"/>
      <c r="V22" s="90"/>
      <c r="W22" s="275"/>
      <c r="X22" s="90"/>
      <c r="Y22" s="275"/>
      <c r="Z22" s="90"/>
      <c r="AA22" s="275"/>
      <c r="AB22" s="90"/>
      <c r="AC22" s="275"/>
      <c r="AD22" s="90"/>
      <c r="AE22" s="275"/>
    </row>
    <row r="23" spans="2:31" ht="16.5" thickBot="1">
      <c r="B23" s="325">
        <f>A4T</f>
        <v>0</v>
      </c>
      <c r="C23" s="249">
        <f>A4W</f>
        <v>0</v>
      </c>
      <c r="D23" s="249"/>
      <c r="E23" s="301">
        <f>IF((A4T&gt;=RT),A4W*(IF((A5T&gt;0),A5T,LIFE)-A4T)*YF/30,A4W/30*((Y0+(YF-Y0)/(1-EXP(-b*RT)))*(A5T-A4T)+(YF-Y0)/b/(1-EXP(-b*RT))*(EXP(-b*A5T)-EXP(-b*A4T))))</f>
        <v>0</v>
      </c>
      <c r="F23" s="70">
        <f>IF((A4T&gt;=RT),R0*A4W/30*EXP(-a*(D23+VT))*YF*(EXP(-a*A4T)-EXP(-a*IF((A5T&gt;0),A5T,LIFE)))/a,R0*A4W/30*EXP(-a*(D23+VT))*((YF-Y0*EXP(-b*RT))/a/(1-EXP(-b*RT))*(EXP(-a*A4T)-EXP(-a*IF((A5T&gt;0),A5T,LIFE)))+(YF-Y0)/(a+b)/(1-EXP(-b*RT))*(EXP(-(a+b)*IF((A5T&gt;0),A5T,LIFE))-EXP(-(a+b)*A4T))))</f>
        <v>0</v>
      </c>
      <c r="H23" s="326" t="s">
        <v>320</v>
      </c>
      <c r="I23" s="334"/>
      <c r="J23" s="327">
        <f>J21/PC_TD</f>
        <v>936.0435257158579</v>
      </c>
      <c r="K23" s="164"/>
      <c r="L23" s="81"/>
      <c r="M23" s="164"/>
      <c r="N23" s="94"/>
      <c r="O23" s="161" t="s">
        <v>23</v>
      </c>
      <c r="P23" s="90">
        <v>2</v>
      </c>
      <c r="Q23" s="275">
        <v>0.3468277502109266</v>
      </c>
      <c r="R23" s="90">
        <v>2</v>
      </c>
      <c r="S23" s="275">
        <v>0.5780462503515443</v>
      </c>
      <c r="T23" s="90"/>
      <c r="U23" s="275"/>
      <c r="V23" s="90"/>
      <c r="W23" s="275"/>
      <c r="X23" s="90"/>
      <c r="Y23" s="275"/>
      <c r="Z23" s="90"/>
      <c r="AA23" s="275"/>
      <c r="AB23" s="90"/>
      <c r="AC23" s="275"/>
      <c r="AD23" s="90"/>
      <c r="AE23" s="275"/>
    </row>
    <row r="24" spans="2:31" ht="12.75">
      <c r="B24" s="325">
        <f>A5T</f>
        <v>0</v>
      </c>
      <c r="C24" s="249">
        <f>A5W</f>
        <v>0</v>
      </c>
      <c r="D24" s="249"/>
      <c r="E24" s="301">
        <f>IF((A5T&gt;=RT),A5W*(IF((A6T&gt;0),A6T,LIFE)-A5T)*YF/30,A5W/30*((Y0+(YF-Y0)/(1-EXP(-b*RT)))*(A6T-A5T)+(YF-Y0)/b/(1-EXP(-b*RT))*(EXP(-b*A6T)-EXP(-b*A5T))))</f>
        <v>0</v>
      </c>
      <c r="F24" s="70">
        <f>IF((A5T&gt;=RT),R0*A5W/30*EXP(-a*(D24+VT))*YF*(EXP(-a*A5T)-EXP(-a*IF((A6T&gt;0),A6T,LIFE)))/a,R0*A5W/30*EXP(-a*(D24+VT))*((YF-Y0*EXP(-b*RT))/a/(1-EXP(-b*RT))*(EXP(-a*A5T)-EXP(-a*IF((A6T&gt;0),A6T,LIFE)))+(YF-Y0)/(a+b)/(1-EXP(-b*RT))*(EXP(-(a+b)*IF((A6T&gt;0),A6T,LIFE))-EXP(-(a+b)*A5T))))</f>
        <v>0</v>
      </c>
      <c r="G24"/>
      <c r="I24" s="81"/>
      <c r="J24" s="81"/>
      <c r="K24" s="81"/>
      <c r="L24" s="81"/>
      <c r="M24" s="81"/>
      <c r="N24" s="94"/>
      <c r="O24" s="161" t="s">
        <v>266</v>
      </c>
      <c r="P24" s="90">
        <v>2</v>
      </c>
      <c r="Q24" s="275">
        <v>0.38749574490982885</v>
      </c>
      <c r="R24" s="90">
        <v>2</v>
      </c>
      <c r="S24" s="275">
        <v>0.6458262415163813</v>
      </c>
      <c r="T24" s="90"/>
      <c r="U24" s="275"/>
      <c r="V24" s="90"/>
      <c r="W24" s="275"/>
      <c r="X24" s="90"/>
      <c r="Y24" s="275"/>
      <c r="Z24" s="90"/>
      <c r="AA24" s="275"/>
      <c r="AB24" s="90"/>
      <c r="AC24" s="275"/>
      <c r="AD24" s="90"/>
      <c r="AE24" s="275"/>
    </row>
    <row r="25" spans="2:31" ht="12.75">
      <c r="B25" s="325">
        <f>A6T</f>
        <v>0</v>
      </c>
      <c r="C25" s="249">
        <f>A6W</f>
        <v>0</v>
      </c>
      <c r="D25" s="249"/>
      <c r="E25" s="301">
        <f>IF((A6T&gt;=RT),A6W*(IF((A7T&gt;0),A7T,LIFE)-A6T)*YF/30,A6W/30*((Y0+(YF-Y0)/(1-EXP(-b*RT)))*(A7T-A6T)+(YF-Y0)/b/(1-EXP(-b*RT))*(EXP(-b*A7T)-EXP(-b*A6T))))</f>
        <v>0</v>
      </c>
      <c r="F25" s="70">
        <f>IF((A6T&gt;=RT),R0*A6W/30*EXP(-a*(D25+VT))*YF*(EXP(-a*A6T)-EXP(-a*IF((A7T&gt;0),A7T,LIFE)))/a,R0*A6W/30*EXP(-a*(D25+VT))*((YF-Y0*EXP(-b*RT))/a/(1-EXP(-b*RT))*(EXP(-a*A6T)-EXP(-a*IF((A7T&gt;0),A7T,LIFE)))+(YF-Y0)/(a+b)/(1-EXP(-b*RT))*(EXP(-(a+b)*IF((A7T&gt;0),A7T,LIFE))-EXP(-(a+b)*A6T))))</f>
        <v>0</v>
      </c>
      <c r="G25"/>
      <c r="I25" s="81"/>
      <c r="J25" s="81"/>
      <c r="K25" s="81"/>
      <c r="M25" s="81"/>
      <c r="N25" s="94"/>
      <c r="O25" s="161" t="s">
        <v>267</v>
      </c>
      <c r="P25" s="90">
        <v>7</v>
      </c>
      <c r="Q25" s="275">
        <v>0.6307339576516637</v>
      </c>
      <c r="R25" s="90">
        <v>8</v>
      </c>
      <c r="S25" s="275">
        <v>0.6167528655268348</v>
      </c>
      <c r="T25" s="90"/>
      <c r="U25" s="275"/>
      <c r="V25" s="90"/>
      <c r="W25" s="275"/>
      <c r="X25" s="90"/>
      <c r="Y25" s="275"/>
      <c r="Z25" s="90"/>
      <c r="AA25" s="275"/>
      <c r="AB25" s="90"/>
      <c r="AC25" s="275"/>
      <c r="AD25" s="90"/>
      <c r="AE25" s="275"/>
    </row>
    <row r="26" spans="2:31" ht="13.5" thickBot="1">
      <c r="B26" s="325">
        <f>A7T</f>
        <v>0</v>
      </c>
      <c r="C26" s="249">
        <f>A7W</f>
        <v>0</v>
      </c>
      <c r="D26" s="249"/>
      <c r="E26" s="301">
        <f>A7W*(LIFE-A7T)*YF/30</f>
        <v>0</v>
      </c>
      <c r="F26" s="70">
        <f>R0*A7W/30*EXP(-a*(D26+VT))*YF*(EXP(-a*A7T)-EXP(-a*LIFE))/a</f>
        <v>0</v>
      </c>
      <c r="G26" s="81"/>
      <c r="H26" s="81"/>
      <c r="J26" s="81"/>
      <c r="K26" s="81"/>
      <c r="M26" s="81"/>
      <c r="N26" s="94"/>
      <c r="O26" s="161" t="s">
        <v>268</v>
      </c>
      <c r="P26" s="90">
        <v>5</v>
      </c>
      <c r="Q26" s="275">
        <v>0.49931372301984894</v>
      </c>
      <c r="R26" s="90">
        <v>8</v>
      </c>
      <c r="S26" s="275">
        <v>0.4855100742013929</v>
      </c>
      <c r="T26" s="90"/>
      <c r="U26" s="275"/>
      <c r="V26" s="90"/>
      <c r="W26" s="275"/>
      <c r="X26" s="90"/>
      <c r="Y26" s="275"/>
      <c r="Z26" s="90"/>
      <c r="AA26" s="275"/>
      <c r="AB26" s="90"/>
      <c r="AC26" s="275"/>
      <c r="AD26" s="90"/>
      <c r="AE26" s="275"/>
    </row>
    <row r="27" spans="2:31" ht="13.5" thickBot="1">
      <c r="B27" s="244" t="s">
        <v>300</v>
      </c>
      <c r="C27" s="402">
        <f>MAX(C19:C26)</f>
        <v>25000</v>
      </c>
      <c r="D27" s="402"/>
      <c r="E27" s="302">
        <f>SUM(E19:E26)</f>
        <v>1378086.7704405377</v>
      </c>
      <c r="F27" s="302">
        <f>SUM(F19:F26)</f>
        <v>6265897510.53012</v>
      </c>
      <c r="G27" s="81"/>
      <c r="H27"/>
      <c r="J27" s="81"/>
      <c r="K27" s="81"/>
      <c r="M27" s="81"/>
      <c r="N27" s="94"/>
      <c r="O27" s="161" t="s">
        <v>269</v>
      </c>
      <c r="P27" s="90">
        <v>2</v>
      </c>
      <c r="Q27" s="275">
        <v>0.3471684041765915</v>
      </c>
      <c r="R27" s="90">
        <v>3</v>
      </c>
      <c r="S27" s="275">
        <v>0.3857426713073238</v>
      </c>
      <c r="T27" s="90"/>
      <c r="U27" s="275"/>
      <c r="V27" s="90"/>
      <c r="W27" s="275"/>
      <c r="X27" s="90"/>
      <c r="Y27" s="275"/>
      <c r="Z27" s="90"/>
      <c r="AA27" s="275"/>
      <c r="AB27" s="90"/>
      <c r="AC27" s="275"/>
      <c r="AD27" s="90"/>
      <c r="AE27" s="275"/>
    </row>
    <row r="28" spans="7:31" ht="12.75">
      <c r="G28" s="81"/>
      <c r="H28"/>
      <c r="J28" s="81"/>
      <c r="K28" s="81"/>
      <c r="M28" s="81"/>
      <c r="N28" s="94"/>
      <c r="O28" s="161" t="s">
        <v>271</v>
      </c>
      <c r="P28" s="90">
        <v>8</v>
      </c>
      <c r="Q28" s="275">
        <v>0.4935489675159127</v>
      </c>
      <c r="R28" s="90">
        <v>11</v>
      </c>
      <c r="S28" s="275">
        <v>0.4554168099781403</v>
      </c>
      <c r="T28" s="90"/>
      <c r="U28" s="275"/>
      <c r="V28" s="90"/>
      <c r="W28" s="275"/>
      <c r="X28" s="90"/>
      <c r="Y28" s="275"/>
      <c r="Z28" s="90"/>
      <c r="AA28" s="275"/>
      <c r="AB28" s="90"/>
      <c r="AC28" s="275"/>
      <c r="AD28" s="90"/>
      <c r="AE28" s="275"/>
    </row>
    <row r="29" spans="2:31" ht="12.75">
      <c r="B29"/>
      <c r="C29"/>
      <c r="F29" s="81"/>
      <c r="G29" s="81"/>
      <c r="H29"/>
      <c r="J29" s="81"/>
      <c r="K29" s="81"/>
      <c r="M29" s="81"/>
      <c r="N29" s="94"/>
      <c r="O29" s="161" t="s">
        <v>270</v>
      </c>
      <c r="P29" s="90">
        <v>2</v>
      </c>
      <c r="Q29" s="275">
        <v>0.29393598246659863</v>
      </c>
      <c r="R29" s="90">
        <v>2</v>
      </c>
      <c r="S29" s="275">
        <v>0.48989330411099763</v>
      </c>
      <c r="T29" s="90"/>
      <c r="U29" s="275"/>
      <c r="V29" s="90"/>
      <c r="W29" s="275"/>
      <c r="X29" s="90"/>
      <c r="Y29" s="275"/>
      <c r="Z29" s="90"/>
      <c r="AA29" s="275"/>
      <c r="AB29" s="90"/>
      <c r="AC29" s="275"/>
      <c r="AD29" s="90"/>
      <c r="AE29" s="275"/>
    </row>
    <row r="30" spans="6:31" ht="12.75">
      <c r="F30" s="81"/>
      <c r="G30" s="81"/>
      <c r="H30"/>
      <c r="J30" s="81"/>
      <c r="K30" s="81"/>
      <c r="M30" s="81"/>
      <c r="N30" s="94"/>
      <c r="O30" s="161" t="s">
        <v>272</v>
      </c>
      <c r="P30" s="90">
        <v>3</v>
      </c>
      <c r="Q30" s="275">
        <v>0.4602890591685312</v>
      </c>
      <c r="R30" s="90">
        <v>4</v>
      </c>
      <c r="S30" s="275">
        <v>0.4600165026043741</v>
      </c>
      <c r="T30" s="90"/>
      <c r="U30" s="275"/>
      <c r="V30" s="90"/>
      <c r="W30" s="275"/>
      <c r="X30" s="90"/>
      <c r="Y30" s="275"/>
      <c r="Z30" s="90"/>
      <c r="AA30" s="275"/>
      <c r="AB30" s="90"/>
      <c r="AC30" s="275"/>
      <c r="AD30" s="90"/>
      <c r="AE30" s="275"/>
    </row>
    <row r="31" spans="1:31" ht="15.75">
      <c r="A31" s="128" t="s">
        <v>183</v>
      </c>
      <c r="H31" s="164"/>
      <c r="I31" s="164"/>
      <c r="J31" s="164"/>
      <c r="K31" s="164"/>
      <c r="M31" s="164"/>
      <c r="N31" s="94"/>
      <c r="O31" s="161" t="s">
        <v>273</v>
      </c>
      <c r="P31" s="90">
        <v>2</v>
      </c>
      <c r="Q31" s="275">
        <v>0.3467202447349139</v>
      </c>
      <c r="R31" s="90">
        <v>3</v>
      </c>
      <c r="S31" s="275">
        <v>0.3852447163721266</v>
      </c>
      <c r="T31" s="90"/>
      <c r="U31" s="275"/>
      <c r="V31" s="90"/>
      <c r="W31" s="275"/>
      <c r="X31" s="90"/>
      <c r="Y31" s="275"/>
      <c r="Z31" s="90"/>
      <c r="AA31" s="275"/>
      <c r="AB31" s="90"/>
      <c r="AC31" s="275"/>
      <c r="AD31" s="90"/>
      <c r="AE31" s="275"/>
    </row>
    <row r="32" spans="9:31" ht="13.5" thickBot="1">
      <c r="I32" s="81"/>
      <c r="J32" s="81"/>
      <c r="K32" s="81"/>
      <c r="M32" s="81"/>
      <c r="N32" s="94"/>
      <c r="O32" s="161" t="s">
        <v>274</v>
      </c>
      <c r="P32" s="90">
        <v>8</v>
      </c>
      <c r="Q32" s="275">
        <v>0.36380601357006925</v>
      </c>
      <c r="R32" s="90">
        <v>9</v>
      </c>
      <c r="S32" s="275">
        <v>0.33879092142841016</v>
      </c>
      <c r="T32" s="90"/>
      <c r="U32" s="275"/>
      <c r="V32" s="90"/>
      <c r="W32" s="275"/>
      <c r="X32" s="90"/>
      <c r="Y32" s="275"/>
      <c r="Z32" s="90"/>
      <c r="AA32" s="275"/>
      <c r="AB32" s="90"/>
      <c r="AC32" s="275"/>
      <c r="AD32" s="90"/>
      <c r="AE32" s="275"/>
    </row>
    <row r="33" spans="2:31" ht="13.5" thickBot="1">
      <c r="B33" s="250"/>
      <c r="C33" s="160" t="s">
        <v>209</v>
      </c>
      <c r="D33" s="158"/>
      <c r="E33" s="158"/>
      <c r="F33" s="159"/>
      <c r="G33" s="160" t="s">
        <v>158</v>
      </c>
      <c r="H33" s="158"/>
      <c r="I33" s="158"/>
      <c r="J33" s="159"/>
      <c r="M33" s="94"/>
      <c r="N33" s="94"/>
      <c r="O33" s="161" t="s">
        <v>275</v>
      </c>
      <c r="P33" s="90">
        <v>5</v>
      </c>
      <c r="Q33" s="275">
        <v>0.3880190160066479</v>
      </c>
      <c r="R33" s="90">
        <v>5</v>
      </c>
      <c r="S33" s="275">
        <v>0.40650694096297463</v>
      </c>
      <c r="T33" s="90"/>
      <c r="U33" s="275"/>
      <c r="V33" s="90"/>
      <c r="W33" s="275"/>
      <c r="X33" s="90"/>
      <c r="Y33" s="275"/>
      <c r="Z33" s="90"/>
      <c r="AA33" s="275"/>
      <c r="AB33" s="90"/>
      <c r="AC33" s="275"/>
      <c r="AD33" s="90"/>
      <c r="AE33" s="275"/>
    </row>
    <row r="34" spans="2:31" ht="13.5" thickBot="1">
      <c r="B34" s="250" t="s">
        <v>186</v>
      </c>
      <c r="C34" s="278" t="s">
        <v>218</v>
      </c>
      <c r="D34" s="279" t="s">
        <v>219</v>
      </c>
      <c r="E34" s="279" t="s">
        <v>220</v>
      </c>
      <c r="F34" s="280" t="s">
        <v>221</v>
      </c>
      <c r="G34" s="278" t="s">
        <v>218</v>
      </c>
      <c r="H34" s="279" t="s">
        <v>219</v>
      </c>
      <c r="I34" s="279" t="s">
        <v>220</v>
      </c>
      <c r="J34" s="280" t="s">
        <v>221</v>
      </c>
      <c r="M34" s="94"/>
      <c r="N34" s="94"/>
      <c r="O34" s="161" t="s">
        <v>276</v>
      </c>
      <c r="P34" s="90">
        <v>20</v>
      </c>
      <c r="Q34" s="275">
        <v>0.2946236103823164</v>
      </c>
      <c r="R34" s="90">
        <v>23</v>
      </c>
      <c r="S34" s="275">
        <v>0.29814374101949814</v>
      </c>
      <c r="T34" s="90"/>
      <c r="U34" s="275"/>
      <c r="V34" s="90"/>
      <c r="W34" s="275"/>
      <c r="X34" s="90"/>
      <c r="Y34" s="275"/>
      <c r="Z34" s="90"/>
      <c r="AA34" s="275"/>
      <c r="AB34" s="90"/>
      <c r="AC34" s="275"/>
      <c r="AD34" s="90"/>
      <c r="AE34" s="275"/>
    </row>
    <row r="35" spans="2:31" ht="12.75">
      <c r="B35" s="249" t="s">
        <v>193</v>
      </c>
      <c r="C35" s="282">
        <f>C12/B12</f>
        <v>1338.8859592483825</v>
      </c>
      <c r="D35" s="283">
        <f aca="true" t="shared" si="2" ref="D35:J35">D12/$B$12</f>
        <v>1321.1296847961505</v>
      </c>
      <c r="E35" s="283">
        <f t="shared" si="2"/>
        <v>1316.732588081653</v>
      </c>
      <c r="F35" s="284">
        <f t="shared" si="2"/>
        <v>1301.1389381426525</v>
      </c>
      <c r="G35" s="282">
        <f t="shared" si="2"/>
        <v>1422.4930301675138</v>
      </c>
      <c r="H35" s="283">
        <f t="shared" si="2"/>
        <v>1404.708895472829</v>
      </c>
      <c r="I35" s="283">
        <f t="shared" si="2"/>
        <v>1399.7036000424773</v>
      </c>
      <c r="J35" s="284">
        <f t="shared" si="2"/>
        <v>1384.494728446563</v>
      </c>
      <c r="M35" s="94"/>
      <c r="N35" s="94"/>
      <c r="O35" s="161" t="s">
        <v>277</v>
      </c>
      <c r="P35" s="90">
        <v>1</v>
      </c>
      <c r="Q35" s="275">
        <v>0.31044928174840525</v>
      </c>
      <c r="R35" s="90">
        <v>2</v>
      </c>
      <c r="S35" s="275">
        <v>0.22412404481353562</v>
      </c>
      <c r="T35" s="90"/>
      <c r="U35" s="275"/>
      <c r="V35" s="90"/>
      <c r="W35" s="275"/>
      <c r="X35" s="90"/>
      <c r="Y35" s="275"/>
      <c r="Z35" s="90"/>
      <c r="AA35" s="275"/>
      <c r="AB35" s="90"/>
      <c r="AC35" s="275"/>
      <c r="AD35" s="90"/>
      <c r="AE35" s="275"/>
    </row>
    <row r="36" spans="2:31" ht="12.75">
      <c r="B36" s="249"/>
      <c r="C36" s="285"/>
      <c r="D36" s="286"/>
      <c r="E36" s="286"/>
      <c r="F36" s="287"/>
      <c r="G36" s="285"/>
      <c r="H36" s="286"/>
      <c r="I36" s="286"/>
      <c r="J36" s="287"/>
      <c r="M36" s="94"/>
      <c r="N36" s="94"/>
      <c r="O36" s="161" t="s">
        <v>278</v>
      </c>
      <c r="P36" s="90">
        <v>4</v>
      </c>
      <c r="Q36" s="275">
        <v>0.6179673811783662</v>
      </c>
      <c r="R36" s="90">
        <v>5</v>
      </c>
      <c r="S36" s="275">
        <v>0.7132412882648891</v>
      </c>
      <c r="T36" s="90"/>
      <c r="U36" s="275"/>
      <c r="V36" s="90"/>
      <c r="W36" s="275"/>
      <c r="X36" s="90"/>
      <c r="Y36" s="275"/>
      <c r="Z36" s="90"/>
      <c r="AA36" s="275"/>
      <c r="AB36" s="90"/>
      <c r="AC36" s="275"/>
      <c r="AD36" s="90"/>
      <c r="AE36" s="275"/>
    </row>
    <row r="37" spans="2:31" ht="12.75">
      <c r="B37" s="249" t="s">
        <v>180</v>
      </c>
      <c r="C37" s="285">
        <f>C35*B12/(PC_TT/360)</f>
        <v>390954700.10052764</v>
      </c>
      <c r="D37" s="286">
        <f>+D35*12*'Input Data'!$C$57</f>
        <v>396338905.43884516</v>
      </c>
      <c r="E37" s="286">
        <f>+E35*12*'Input Data'!$C$57</f>
        <v>395019776.4244959</v>
      </c>
      <c r="F37" s="287">
        <f>+F35*12*'Input Data'!$C$57</f>
        <v>390341681.44279575</v>
      </c>
      <c r="G37" s="285">
        <f>+G35*12*'Input Data'!$C$57</f>
        <v>426747909.0502541</v>
      </c>
      <c r="H37" s="286">
        <f>+H35*12*'Input Data'!$C$57</f>
        <v>421412668.64184874</v>
      </c>
      <c r="I37" s="286">
        <f>+I35*12*'Input Data'!$C$57</f>
        <v>419911080.0127432</v>
      </c>
      <c r="J37" s="287">
        <f>+J35*12*'Input Data'!$C$57</f>
        <v>415348418.5339688</v>
      </c>
      <c r="M37" s="94"/>
      <c r="N37" s="94"/>
      <c r="O37" s="161" t="s">
        <v>279</v>
      </c>
      <c r="P37" s="90">
        <v>10</v>
      </c>
      <c r="Q37" s="275">
        <v>0.755481879696984</v>
      </c>
      <c r="R37" s="90">
        <v>12</v>
      </c>
      <c r="S37" s="275">
        <v>0.7437948828290444</v>
      </c>
      <c r="T37" s="90"/>
      <c r="U37" s="275"/>
      <c r="V37" s="90"/>
      <c r="W37" s="275"/>
      <c r="X37" s="90"/>
      <c r="Y37" s="275"/>
      <c r="Z37" s="90"/>
      <c r="AA37" s="275"/>
      <c r="AB37" s="90"/>
      <c r="AC37" s="275"/>
      <c r="AD37" s="90"/>
      <c r="AE37" s="275"/>
    </row>
    <row r="38" spans="2:31" ht="13.5" thickBot="1">
      <c r="B38" s="249"/>
      <c r="C38" s="285"/>
      <c r="D38" s="286"/>
      <c r="E38" s="286"/>
      <c r="F38" s="287"/>
      <c r="G38" s="285"/>
      <c r="H38" s="286"/>
      <c r="I38" s="286"/>
      <c r="J38" s="287"/>
      <c r="M38" s="94"/>
      <c r="N38" s="94"/>
      <c r="O38" s="161" t="s">
        <v>280</v>
      </c>
      <c r="P38" s="90">
        <v>10</v>
      </c>
      <c r="Q38" s="275">
        <v>0.7797767224387917</v>
      </c>
      <c r="R38" s="90">
        <v>11</v>
      </c>
      <c r="S38" s="275">
        <v>0.7718872893543064</v>
      </c>
      <c r="T38" s="90"/>
      <c r="U38" s="275"/>
      <c r="V38" s="90"/>
      <c r="W38" s="275"/>
      <c r="X38" s="90"/>
      <c r="Y38" s="275"/>
      <c r="Z38" s="90"/>
      <c r="AA38" s="275"/>
      <c r="AB38" s="90"/>
      <c r="AC38" s="275"/>
      <c r="AD38" s="90"/>
      <c r="AE38" s="275"/>
    </row>
    <row r="39" spans="2:31" ht="12.75">
      <c r="B39" s="241" t="s">
        <v>181</v>
      </c>
      <c r="C39" s="288">
        <f aca="true" t="shared" si="3" ref="C39:J39">C12/PC_TD</f>
        <v>1418.4690996472955</v>
      </c>
      <c r="D39" s="289">
        <f t="shared" si="3"/>
        <v>1399.6573954380085</v>
      </c>
      <c r="E39" s="289">
        <f t="shared" si="3"/>
        <v>1394.998936086342</v>
      </c>
      <c r="F39" s="290">
        <f t="shared" si="3"/>
        <v>1378.4784024020496</v>
      </c>
      <c r="G39" s="288">
        <f t="shared" si="3"/>
        <v>1507.0457598113792</v>
      </c>
      <c r="H39" s="289">
        <f t="shared" si="3"/>
        <v>1488.2045393518436</v>
      </c>
      <c r="I39" s="289">
        <f t="shared" si="3"/>
        <v>1482.9017300621372</v>
      </c>
      <c r="J39" s="290">
        <f t="shared" si="3"/>
        <v>1466.7888458763784</v>
      </c>
      <c r="M39" s="94"/>
      <c r="N39" s="94"/>
      <c r="O39" s="161" t="s">
        <v>45</v>
      </c>
      <c r="P39" s="90">
        <v>13</v>
      </c>
      <c r="Q39" s="275">
        <v>0.33474308366354405</v>
      </c>
      <c r="R39" s="90">
        <v>15</v>
      </c>
      <c r="S39" s="275">
        <v>0.3409434185837854</v>
      </c>
      <c r="T39" s="90"/>
      <c r="U39" s="275"/>
      <c r="V39" s="90"/>
      <c r="W39" s="275"/>
      <c r="X39" s="90"/>
      <c r="Y39" s="275"/>
      <c r="Z39" s="90"/>
      <c r="AA39" s="275"/>
      <c r="AB39" s="90"/>
      <c r="AC39" s="275"/>
      <c r="AD39" s="90"/>
      <c r="AE39" s="275"/>
    </row>
    <row r="40" spans="2:31" ht="13.5" thickBot="1">
      <c r="B40" s="243" t="s">
        <v>182</v>
      </c>
      <c r="C40" s="291">
        <f>C39+PC_DCPD</f>
        <v>2354.5126253631533</v>
      </c>
      <c r="D40" s="292">
        <f>D39+PC_DCPD</f>
        <v>2335.700921153866</v>
      </c>
      <c r="E40" s="292">
        <f aca="true" t="shared" si="4" ref="E40:J40">E39+PC_DCPD</f>
        <v>2331.0424618022</v>
      </c>
      <c r="F40" s="293">
        <f t="shared" si="4"/>
        <v>2314.5219281179075</v>
      </c>
      <c r="G40" s="291">
        <f t="shared" si="4"/>
        <v>2443.089285527237</v>
      </c>
      <c r="H40" s="292">
        <f t="shared" si="4"/>
        <v>2424.2480650677016</v>
      </c>
      <c r="I40" s="292">
        <f t="shared" si="4"/>
        <v>2418.945255777995</v>
      </c>
      <c r="J40" s="293">
        <f t="shared" si="4"/>
        <v>2402.832371592236</v>
      </c>
      <c r="K40" s="81"/>
      <c r="M40" s="81"/>
      <c r="N40" s="94"/>
      <c r="O40" s="161" t="s">
        <v>46</v>
      </c>
      <c r="P40" s="90">
        <v>8</v>
      </c>
      <c r="Q40" s="275">
        <v>0.348937770765156</v>
      </c>
      <c r="R40" s="90">
        <v>12</v>
      </c>
      <c r="S40" s="275">
        <v>0.3246049635267762</v>
      </c>
      <c r="T40" s="90"/>
      <c r="U40" s="275"/>
      <c r="V40" s="90"/>
      <c r="W40" s="275"/>
      <c r="X40" s="90"/>
      <c r="Y40" s="275"/>
      <c r="Z40" s="90"/>
      <c r="AA40" s="275"/>
      <c r="AB40" s="90"/>
      <c r="AC40" s="275"/>
      <c r="AD40" s="90"/>
      <c r="AE40" s="275"/>
    </row>
    <row r="41" spans="6:31" ht="12.75">
      <c r="F41" s="164"/>
      <c r="G41" s="164"/>
      <c r="H41" s="164"/>
      <c r="I41" s="81"/>
      <c r="J41" s="81"/>
      <c r="K41" s="81"/>
      <c r="M41" s="81"/>
      <c r="N41" s="94"/>
      <c r="O41" s="161" t="s">
        <v>47</v>
      </c>
      <c r="P41" s="90">
        <v>10</v>
      </c>
      <c r="Q41" s="275">
        <v>0.2904502914949018</v>
      </c>
      <c r="R41" s="90">
        <v>12</v>
      </c>
      <c r="S41" s="275">
        <v>0.2767310068248975</v>
      </c>
      <c r="T41" s="90"/>
      <c r="U41" s="275"/>
      <c r="V41" s="90"/>
      <c r="W41" s="275"/>
      <c r="X41" s="90"/>
      <c r="Y41" s="275"/>
      <c r="Z41" s="90"/>
      <c r="AA41" s="275"/>
      <c r="AB41" s="90"/>
      <c r="AC41" s="275"/>
      <c r="AD41" s="90"/>
      <c r="AE41" s="275"/>
    </row>
    <row r="42" spans="6:31" ht="12.75">
      <c r="F42" s="164"/>
      <c r="G42" s="164"/>
      <c r="H42" s="164"/>
      <c r="I42" s="81"/>
      <c r="J42" s="81"/>
      <c r="K42" s="81"/>
      <c r="M42" s="81"/>
      <c r="N42" s="94"/>
      <c r="O42" s="161" t="s">
        <v>282</v>
      </c>
      <c r="P42" s="90">
        <v>1</v>
      </c>
      <c r="Q42" s="275">
        <v>0.34638003051920674</v>
      </c>
      <c r="R42" s="90">
        <v>2</v>
      </c>
      <c r="S42" s="275">
        <v>0.28865002543267226</v>
      </c>
      <c r="T42" s="90"/>
      <c r="U42" s="275"/>
      <c r="V42" s="90"/>
      <c r="W42" s="275"/>
      <c r="X42" s="90"/>
      <c r="Y42" s="275"/>
      <c r="Z42" s="90"/>
      <c r="AA42" s="275"/>
      <c r="AB42" s="90"/>
      <c r="AC42" s="275"/>
      <c r="AD42" s="90"/>
      <c r="AE42" s="275"/>
    </row>
    <row r="43" spans="1:31" ht="15.75">
      <c r="A43" s="128"/>
      <c r="B43" s="164"/>
      <c r="C43"/>
      <c r="F43" s="128"/>
      <c r="G43" s="164"/>
      <c r="H43"/>
      <c r="K43" s="164"/>
      <c r="M43" s="164"/>
      <c r="N43" s="94"/>
      <c r="O43" s="161" t="s">
        <v>281</v>
      </c>
      <c r="P43" s="90">
        <v>6</v>
      </c>
      <c r="Q43" s="275">
        <v>0.43075114239992857</v>
      </c>
      <c r="R43" s="90">
        <v>6</v>
      </c>
      <c r="S43" s="275">
        <v>0.48862450297070753</v>
      </c>
      <c r="T43" s="90"/>
      <c r="U43" s="275"/>
      <c r="V43" s="90"/>
      <c r="W43" s="275"/>
      <c r="X43" s="90"/>
      <c r="Y43" s="275"/>
      <c r="Z43" s="90"/>
      <c r="AA43" s="275"/>
      <c r="AB43" s="90"/>
      <c r="AC43" s="275"/>
      <c r="AD43" s="90"/>
      <c r="AE43" s="275"/>
    </row>
    <row r="44" spans="2:31" ht="12.75">
      <c r="B44" s="81"/>
      <c r="C44"/>
      <c r="G44" s="81"/>
      <c r="H44"/>
      <c r="K44" s="81"/>
      <c r="M44" s="81"/>
      <c r="N44" s="94"/>
      <c r="O44" s="161" t="s">
        <v>283</v>
      </c>
      <c r="P44" s="90">
        <v>2</v>
      </c>
      <c r="Q44" s="275">
        <v>0.4132896378530643</v>
      </c>
      <c r="R44" s="90">
        <v>3</v>
      </c>
      <c r="S44" s="275">
        <v>0.4592107087256269</v>
      </c>
      <c r="T44" s="90"/>
      <c r="U44" s="275"/>
      <c r="V44" s="90"/>
      <c r="W44" s="275"/>
      <c r="X44" s="90"/>
      <c r="Y44" s="275"/>
      <c r="Z44" s="90"/>
      <c r="AA44" s="275"/>
      <c r="AB44" s="90"/>
      <c r="AC44" s="275"/>
      <c r="AD44" s="90"/>
      <c r="AE44" s="275"/>
    </row>
    <row r="45" spans="13:31" ht="12.75" customHeight="1">
      <c r="M45" s="94"/>
      <c r="N45" s="94"/>
      <c r="O45" s="161" t="s">
        <v>52</v>
      </c>
      <c r="P45" s="90">
        <v>13</v>
      </c>
      <c r="Q45" s="275">
        <v>0.38198154212146945</v>
      </c>
      <c r="R45" s="90">
        <v>16</v>
      </c>
      <c r="S45" s="275">
        <v>0.3798080356586287</v>
      </c>
      <c r="T45" s="90"/>
      <c r="U45" s="275"/>
      <c r="V45" s="90"/>
      <c r="W45" s="275"/>
      <c r="X45" s="90"/>
      <c r="Y45" s="275"/>
      <c r="Z45" s="90"/>
      <c r="AA45" s="275"/>
      <c r="AB45" s="90"/>
      <c r="AC45" s="275"/>
      <c r="AD45" s="90"/>
      <c r="AE45" s="275"/>
    </row>
    <row r="46" spans="2:31" ht="15.75">
      <c r="B46" s="128"/>
      <c r="C46" s="164"/>
      <c r="D46"/>
      <c r="G46" s="128"/>
      <c r="H46" s="164"/>
      <c r="I46"/>
      <c r="M46" s="94"/>
      <c r="N46" s="94"/>
      <c r="O46" s="161" t="s">
        <v>284</v>
      </c>
      <c r="P46" s="90">
        <v>3</v>
      </c>
      <c r="Q46" s="275">
        <v>0.34504611376412847</v>
      </c>
      <c r="R46" s="90">
        <v>4</v>
      </c>
      <c r="S46" s="275">
        <v>0.43130764220516055</v>
      </c>
      <c r="T46" s="90"/>
      <c r="U46" s="275"/>
      <c r="V46" s="90"/>
      <c r="W46" s="275"/>
      <c r="X46" s="90"/>
      <c r="Y46" s="275"/>
      <c r="Z46" s="90"/>
      <c r="AA46" s="275"/>
      <c r="AB46" s="90"/>
      <c r="AC46" s="275"/>
      <c r="AD46" s="90"/>
      <c r="AE46" s="275"/>
    </row>
    <row r="47" spans="3:31" ht="12.75">
      <c r="C47" s="81"/>
      <c r="D47"/>
      <c r="H47" s="81"/>
      <c r="I47"/>
      <c r="M47" s="94"/>
      <c r="N47" s="94"/>
      <c r="O47" s="161" t="s">
        <v>286</v>
      </c>
      <c r="P47" s="90">
        <v>8</v>
      </c>
      <c r="Q47" s="275">
        <v>0.4753275901780918</v>
      </c>
      <c r="R47" s="90">
        <v>9</v>
      </c>
      <c r="S47" s="275">
        <v>0.50878295510286</v>
      </c>
      <c r="T47" s="90"/>
      <c r="U47" s="275"/>
      <c r="V47" s="90"/>
      <c r="W47" s="275"/>
      <c r="X47" s="90"/>
      <c r="Y47" s="275"/>
      <c r="Z47" s="90"/>
      <c r="AA47" s="275"/>
      <c r="AB47" s="90"/>
      <c r="AC47" s="275"/>
      <c r="AD47" s="90"/>
      <c r="AE47" s="275"/>
    </row>
    <row r="48" spans="4:31" ht="13.5" thickBot="1">
      <c r="D48"/>
      <c r="I48"/>
      <c r="M48" s="94"/>
      <c r="N48" s="94"/>
      <c r="O48" s="161" t="s">
        <v>285</v>
      </c>
      <c r="P48" s="90">
        <v>8</v>
      </c>
      <c r="Q48" s="275">
        <v>0.4991508540436248</v>
      </c>
      <c r="R48" s="90">
        <v>10</v>
      </c>
      <c r="S48" s="275">
        <v>0.5103749943618209</v>
      </c>
      <c r="T48" s="90"/>
      <c r="U48" s="275"/>
      <c r="V48" s="91"/>
      <c r="W48" s="55"/>
      <c r="X48" s="91"/>
      <c r="Y48" s="55"/>
      <c r="Z48" s="91"/>
      <c r="AA48" s="55"/>
      <c r="AB48" s="91"/>
      <c r="AC48" s="55"/>
      <c r="AD48" s="90"/>
      <c r="AE48" s="275"/>
    </row>
    <row r="49" spans="4:31" ht="13.5" thickBot="1">
      <c r="D49"/>
      <c r="I49"/>
      <c r="M49" s="94"/>
      <c r="N49" s="94"/>
      <c r="O49" s="157" t="s">
        <v>123</v>
      </c>
      <c r="P49" s="276">
        <f aca="true" t="shared" si="5" ref="P49:AE49">SUM(P6:P48)</f>
        <v>242</v>
      </c>
      <c r="Q49" s="277">
        <f t="shared" si="5"/>
        <v>17.700678286392904</v>
      </c>
      <c r="R49" s="276">
        <f t="shared" si="5"/>
        <v>296</v>
      </c>
      <c r="S49" s="277">
        <f t="shared" si="5"/>
        <v>18.731243475336775</v>
      </c>
      <c r="T49" s="276">
        <f t="shared" si="5"/>
        <v>0</v>
      </c>
      <c r="U49" s="277">
        <f t="shared" si="5"/>
        <v>0</v>
      </c>
      <c r="V49" s="274">
        <f t="shared" si="5"/>
        <v>0</v>
      </c>
      <c r="W49" s="212">
        <f t="shared" si="5"/>
        <v>0</v>
      </c>
      <c r="X49" s="213">
        <f t="shared" si="5"/>
        <v>0</v>
      </c>
      <c r="Y49" s="212">
        <f t="shared" si="5"/>
        <v>0</v>
      </c>
      <c r="Z49" s="213">
        <f t="shared" si="5"/>
        <v>0</v>
      </c>
      <c r="AA49" s="212">
        <f t="shared" si="5"/>
        <v>0</v>
      </c>
      <c r="AB49" s="213">
        <f t="shared" si="5"/>
        <v>0</v>
      </c>
      <c r="AC49" s="212">
        <f t="shared" si="5"/>
        <v>0</v>
      </c>
      <c r="AD49" s="276">
        <f t="shared" si="5"/>
        <v>0</v>
      </c>
      <c r="AE49" s="277">
        <f t="shared" si="5"/>
        <v>0</v>
      </c>
    </row>
    <row r="50" spans="4:17" ht="12.75">
      <c r="D50"/>
      <c r="I50"/>
      <c r="M50" s="94"/>
      <c r="N50" s="94"/>
      <c r="O50" s="94"/>
      <c r="P50" s="94"/>
      <c r="Q50" s="94"/>
    </row>
    <row r="51" spans="4:17" ht="12.75">
      <c r="D51"/>
      <c r="I51"/>
      <c r="M51" s="94"/>
      <c r="N51" s="94"/>
      <c r="O51" s="94"/>
      <c r="P51" s="94"/>
      <c r="Q51" s="94"/>
    </row>
    <row r="52" spans="4:17" ht="12.75">
      <c r="D52"/>
      <c r="I52"/>
      <c r="M52" s="94"/>
      <c r="N52" s="94"/>
      <c r="O52" s="94"/>
      <c r="P52" s="94"/>
      <c r="Q52" s="94"/>
    </row>
    <row r="53" spans="4:17" ht="12.75">
      <c r="D53"/>
      <c r="I53"/>
      <c r="M53" s="94"/>
      <c r="N53" s="94"/>
      <c r="O53" s="94"/>
      <c r="P53" s="94"/>
      <c r="Q53" s="94"/>
    </row>
    <row r="54" spans="4:17" ht="12.75">
      <c r="D54"/>
      <c r="M54" s="94"/>
      <c r="N54" s="94"/>
      <c r="O54" s="94"/>
      <c r="P54" s="94"/>
      <c r="Q54" s="94"/>
    </row>
    <row r="55" spans="4:17" ht="12.75">
      <c r="D55"/>
      <c r="I55" s="81"/>
      <c r="J55" s="81"/>
      <c r="K55" s="81"/>
      <c r="M55" s="94"/>
      <c r="N55" s="94"/>
      <c r="O55" s="94"/>
      <c r="P55" s="94"/>
      <c r="Q55" s="94"/>
    </row>
    <row r="56" spans="4:17" ht="12.75">
      <c r="D56"/>
      <c r="F56" s="164"/>
      <c r="G56" s="164"/>
      <c r="H56" s="164"/>
      <c r="I56" s="81"/>
      <c r="J56" s="81"/>
      <c r="K56" s="81"/>
      <c r="M56" s="94"/>
      <c r="N56" s="94"/>
      <c r="O56" s="94"/>
      <c r="P56" s="94"/>
      <c r="Q56" s="94"/>
    </row>
    <row r="57" spans="9:17" ht="12.75">
      <c r="I57" s="81"/>
      <c r="J57" s="81"/>
      <c r="K57" s="81"/>
      <c r="M57" s="94"/>
      <c r="N57" s="94"/>
      <c r="O57" s="94"/>
      <c r="P57" s="94"/>
      <c r="Q57" s="94"/>
    </row>
    <row r="58" spans="6:17" ht="12.75">
      <c r="F58" s="164"/>
      <c r="G58" s="164"/>
      <c r="H58" s="164"/>
      <c r="I58" s="81"/>
      <c r="J58" s="81"/>
      <c r="K58" s="81"/>
      <c r="M58" s="94"/>
      <c r="N58" s="94"/>
      <c r="O58" s="94"/>
      <c r="P58" s="94"/>
      <c r="Q58" s="94"/>
    </row>
    <row r="59" spans="9:17" ht="12.75">
      <c r="I59" s="81"/>
      <c r="J59" s="81"/>
      <c r="K59" s="81"/>
      <c r="M59" s="94"/>
      <c r="N59" s="94"/>
      <c r="O59" s="94"/>
      <c r="P59" s="94"/>
      <c r="Q59" s="94"/>
    </row>
    <row r="60" spans="6:17" ht="12.75">
      <c r="F60" s="164"/>
      <c r="G60" s="164"/>
      <c r="H60" s="164"/>
      <c r="I60" s="81"/>
      <c r="J60" s="81"/>
      <c r="K60" s="81"/>
      <c r="M60" s="94"/>
      <c r="N60" s="94"/>
      <c r="O60" s="94"/>
      <c r="P60" s="94"/>
      <c r="Q60" s="94"/>
    </row>
    <row r="61" spans="8:17" ht="12.75">
      <c r="H61" s="164"/>
      <c r="I61" s="164"/>
      <c r="J61" s="164"/>
      <c r="K61" s="164"/>
      <c r="M61" s="94"/>
      <c r="N61" s="94"/>
      <c r="O61" s="94"/>
      <c r="P61" s="94"/>
      <c r="Q61" s="94"/>
    </row>
    <row r="62" spans="9:17" ht="12.75">
      <c r="I62" s="81"/>
      <c r="J62" s="81"/>
      <c r="K62" s="81"/>
      <c r="M62" s="94"/>
      <c r="N62" s="94"/>
      <c r="O62" s="94"/>
      <c r="P62" s="94"/>
      <c r="Q62" s="94"/>
    </row>
    <row r="63" spans="6:17" ht="12.75">
      <c r="F63" s="164"/>
      <c r="G63" s="164"/>
      <c r="H63" s="164"/>
      <c r="I63" s="81"/>
      <c r="J63" s="81"/>
      <c r="K63" s="81"/>
      <c r="M63" s="94"/>
      <c r="N63" s="94"/>
      <c r="O63" s="94"/>
      <c r="P63" s="94"/>
      <c r="Q63" s="94"/>
    </row>
    <row r="64" spans="9:17" ht="12.75">
      <c r="I64" s="81"/>
      <c r="J64" s="81"/>
      <c r="K64" s="81"/>
      <c r="M64" s="94"/>
      <c r="N64" s="94"/>
      <c r="O64" s="94"/>
      <c r="P64" s="94"/>
      <c r="Q64" s="94"/>
    </row>
    <row r="65" spans="6:17" ht="12.75">
      <c r="F65" s="164"/>
      <c r="G65" s="164"/>
      <c r="H65" s="164"/>
      <c r="I65" s="81"/>
      <c r="J65" s="81"/>
      <c r="K65" s="81"/>
      <c r="M65" s="94"/>
      <c r="N65" s="94"/>
      <c r="O65" s="94"/>
      <c r="P65" s="94"/>
      <c r="Q65" s="94"/>
    </row>
    <row r="66" spans="9:17" ht="12.75">
      <c r="I66" s="81"/>
      <c r="J66" s="81"/>
      <c r="K66" s="81"/>
      <c r="M66" s="94"/>
      <c r="N66" s="94"/>
      <c r="O66" s="94"/>
      <c r="P66" s="94"/>
      <c r="Q66" s="94"/>
    </row>
    <row r="67" spans="6:17" ht="12.75">
      <c r="F67" s="164"/>
      <c r="G67" s="164"/>
      <c r="H67" s="164"/>
      <c r="I67" s="81"/>
      <c r="J67" s="81"/>
      <c r="K67" s="81"/>
      <c r="M67" s="94"/>
      <c r="N67" s="94"/>
      <c r="O67" s="94"/>
      <c r="P67" s="94"/>
      <c r="Q67" s="94"/>
    </row>
    <row r="68" spans="8:17" ht="12.75">
      <c r="H68" s="164"/>
      <c r="I68" s="164"/>
      <c r="J68" s="164"/>
      <c r="K68" s="164"/>
      <c r="M68" s="94"/>
      <c r="N68" s="94"/>
      <c r="O68" s="94"/>
      <c r="P68" s="94"/>
      <c r="Q68" s="94"/>
    </row>
    <row r="69" spans="9:17" ht="12.75">
      <c r="I69" s="81"/>
      <c r="J69" s="81"/>
      <c r="K69" s="81"/>
      <c r="M69" s="94"/>
      <c r="N69" s="94"/>
      <c r="O69" s="94"/>
      <c r="P69" s="94"/>
      <c r="Q69" s="94"/>
    </row>
    <row r="70" spans="6:17" ht="12.75">
      <c r="F70" s="164"/>
      <c r="G70" s="164"/>
      <c r="H70" s="164"/>
      <c r="I70" s="81"/>
      <c r="J70" s="81"/>
      <c r="K70" s="81"/>
      <c r="M70" s="94"/>
      <c r="N70" s="94"/>
      <c r="O70" s="94"/>
      <c r="P70" s="94"/>
      <c r="Q70" s="94"/>
    </row>
    <row r="71" spans="9:17" ht="12.75">
      <c r="I71" s="81"/>
      <c r="J71" s="81"/>
      <c r="K71" s="81"/>
      <c r="M71" s="94"/>
      <c r="N71" s="94"/>
      <c r="O71" s="94"/>
      <c r="P71" s="94"/>
      <c r="Q71" s="94"/>
    </row>
    <row r="72" spans="6:17" ht="12.75">
      <c r="F72" s="164"/>
      <c r="G72" s="164"/>
      <c r="H72" s="164"/>
      <c r="I72" s="81"/>
      <c r="J72" s="81"/>
      <c r="K72" s="81"/>
      <c r="M72" s="94"/>
      <c r="N72" s="94"/>
      <c r="O72" s="94"/>
      <c r="P72" s="94"/>
      <c r="Q72" s="94"/>
    </row>
    <row r="73" spans="9:17" ht="12.75">
      <c r="I73" s="81"/>
      <c r="J73" s="81"/>
      <c r="K73" s="81"/>
      <c r="M73" s="94"/>
      <c r="N73" s="94"/>
      <c r="O73" s="94"/>
      <c r="P73" s="94"/>
      <c r="Q73" s="94"/>
    </row>
    <row r="74" spans="6:17" ht="12.75">
      <c r="F74" s="164"/>
      <c r="G74" s="164"/>
      <c r="H74" s="164"/>
      <c r="I74" s="81"/>
      <c r="J74" s="81"/>
      <c r="K74" s="81"/>
      <c r="M74" s="94"/>
      <c r="N74" s="94"/>
      <c r="O74" s="94"/>
      <c r="P74" s="94"/>
      <c r="Q74" s="94"/>
    </row>
    <row r="75" spans="8:17" ht="12.75">
      <c r="H75" s="164"/>
      <c r="I75" s="164"/>
      <c r="J75" s="164"/>
      <c r="K75" s="164"/>
      <c r="M75" s="94"/>
      <c r="N75" s="94"/>
      <c r="O75" s="94"/>
      <c r="P75" s="94"/>
      <c r="Q75" s="94"/>
    </row>
    <row r="76" spans="9:17" ht="12.75">
      <c r="I76" s="81"/>
      <c r="J76" s="81"/>
      <c r="K76" s="81"/>
      <c r="M76" s="94"/>
      <c r="N76" s="94"/>
      <c r="O76" s="94"/>
      <c r="P76" s="94"/>
      <c r="Q76" s="94"/>
    </row>
    <row r="77" spans="6:17" ht="12.75">
      <c r="F77" s="164"/>
      <c r="G77" s="164"/>
      <c r="M77" s="94"/>
      <c r="N77" s="94"/>
      <c r="O77" s="94"/>
      <c r="P77" s="94"/>
      <c r="Q77" s="94"/>
    </row>
    <row r="78" spans="13:17" ht="12.75">
      <c r="M78" s="94"/>
      <c r="N78" s="94"/>
      <c r="O78" s="94"/>
      <c r="P78" s="94"/>
      <c r="Q78" s="94"/>
    </row>
    <row r="79" spans="6:17" ht="13.5" customHeight="1">
      <c r="F79" s="164"/>
      <c r="G79" s="164"/>
      <c r="M79" s="94"/>
      <c r="N79" s="94"/>
      <c r="O79" s="94"/>
      <c r="P79" s="94"/>
      <c r="Q79" s="94"/>
    </row>
    <row r="80" spans="9:17" ht="12.75">
      <c r="I80"/>
      <c r="J80"/>
      <c r="M80" s="94"/>
      <c r="N80" s="94"/>
      <c r="O80" s="94"/>
      <c r="P80" s="94"/>
      <c r="Q80" s="94"/>
    </row>
    <row r="81" spans="6:17" ht="12.75">
      <c r="F81" s="164"/>
      <c r="G81" s="164"/>
      <c r="I81"/>
      <c r="J81"/>
      <c r="M81" s="94"/>
      <c r="N81" s="94"/>
      <c r="O81" s="94"/>
      <c r="P81" s="94"/>
      <c r="Q81" s="94"/>
    </row>
    <row r="82" spans="9:17" ht="12.75">
      <c r="I82"/>
      <c r="J82"/>
      <c r="M82" s="94"/>
      <c r="N82" s="94"/>
      <c r="O82" s="94"/>
      <c r="P82" s="94"/>
      <c r="Q82" s="94"/>
    </row>
    <row r="83" spans="9:17" ht="12.75">
      <c r="I83"/>
      <c r="J83"/>
      <c r="M83" s="94"/>
      <c r="N83" s="94"/>
      <c r="O83" s="94"/>
      <c r="P83" s="94"/>
      <c r="Q83" s="94"/>
    </row>
    <row r="84" spans="6:17" ht="12.75">
      <c r="F84" s="164"/>
      <c r="G84" s="164"/>
      <c r="I84"/>
      <c r="J84"/>
      <c r="M84" s="94"/>
      <c r="N84" s="94"/>
      <c r="O84" s="94"/>
      <c r="P84" s="94"/>
      <c r="Q84" s="94"/>
    </row>
    <row r="85" spans="9:17" ht="12.75">
      <c r="I85"/>
      <c r="J85"/>
      <c r="M85" s="94"/>
      <c r="N85" s="94"/>
      <c r="O85" s="94"/>
      <c r="P85" s="94"/>
      <c r="Q85" s="94"/>
    </row>
    <row r="86" spans="6:17" ht="12.75">
      <c r="F86" s="164"/>
      <c r="G86" s="164"/>
      <c r="I86"/>
      <c r="J86"/>
      <c r="M86" s="94"/>
      <c r="N86" s="94"/>
      <c r="O86" s="94"/>
      <c r="P86" s="94"/>
      <c r="Q86" s="94"/>
    </row>
    <row r="87" spans="9:17" ht="12.75">
      <c r="I87"/>
      <c r="J87"/>
      <c r="M87" s="94"/>
      <c r="N87" s="94"/>
      <c r="O87" s="94"/>
      <c r="P87" s="94"/>
      <c r="Q87" s="94"/>
    </row>
    <row r="88" spans="6:17" ht="12.75">
      <c r="F88" s="164"/>
      <c r="G88" s="164"/>
      <c r="I88"/>
      <c r="J88"/>
      <c r="M88" s="94"/>
      <c r="N88" s="94"/>
      <c r="O88" s="94"/>
      <c r="P88" s="94"/>
      <c r="Q88" s="94"/>
    </row>
    <row r="89" spans="9:17" ht="12.75">
      <c r="I89"/>
      <c r="J89"/>
      <c r="M89" s="94"/>
      <c r="N89" s="94"/>
      <c r="O89" s="94"/>
      <c r="P89" s="94"/>
      <c r="Q89" s="94"/>
    </row>
    <row r="90" spans="6:17" ht="12.75">
      <c r="F90" s="164"/>
      <c r="G90" s="164"/>
      <c r="M90" s="94"/>
      <c r="N90" s="94"/>
      <c r="O90" s="94"/>
      <c r="P90" s="94"/>
      <c r="Q90" s="94"/>
    </row>
    <row r="91" spans="13:17" ht="12.75">
      <c r="M91" s="94"/>
      <c r="N91" s="94"/>
      <c r="O91" s="94"/>
      <c r="P91" s="94"/>
      <c r="Q91" s="94"/>
    </row>
    <row r="92" spans="6:17" ht="12.75">
      <c r="F92" s="164"/>
      <c r="G92" s="164"/>
      <c r="M92" s="94"/>
      <c r="N92" s="94"/>
      <c r="O92" s="94"/>
      <c r="P92" s="94"/>
      <c r="Q92" s="94"/>
    </row>
    <row r="93" spans="13:17" ht="12.75">
      <c r="M93" s="94"/>
      <c r="N93" s="94"/>
      <c r="O93" s="94"/>
      <c r="P93" s="94"/>
      <c r="Q93" s="94"/>
    </row>
    <row r="94" spans="6:17" ht="12.75">
      <c r="F94" s="164"/>
      <c r="G94" s="164"/>
      <c r="M94" s="94"/>
      <c r="N94" s="94"/>
      <c r="O94" s="94"/>
      <c r="P94" s="94"/>
      <c r="Q94" s="94"/>
    </row>
    <row r="95" spans="13:17" ht="12.75">
      <c r="M95" s="94"/>
      <c r="N95" s="94"/>
      <c r="O95" s="94"/>
      <c r="P95" s="94"/>
      <c r="Q95" s="94"/>
    </row>
    <row r="96" spans="13:17" ht="12.75">
      <c r="M96" s="94"/>
      <c r="N96" s="94"/>
      <c r="O96" s="94"/>
      <c r="P96" s="94"/>
      <c r="Q96" s="94"/>
    </row>
    <row r="97" spans="6:17" ht="12.75">
      <c r="F97" s="164"/>
      <c r="G97" s="164"/>
      <c r="M97" s="94"/>
      <c r="N97" s="94"/>
      <c r="O97" s="94"/>
      <c r="P97" s="94"/>
      <c r="Q97" s="94"/>
    </row>
    <row r="98" spans="13:17" ht="12.75">
      <c r="M98" s="94"/>
      <c r="N98" s="94"/>
      <c r="O98" s="94"/>
      <c r="P98" s="94"/>
      <c r="Q98" s="94"/>
    </row>
    <row r="99" spans="6:17" ht="12.75">
      <c r="F99" s="164"/>
      <c r="G99" s="164"/>
      <c r="M99" s="94"/>
      <c r="N99" s="94"/>
      <c r="O99" s="94"/>
      <c r="P99" s="94"/>
      <c r="Q99" s="94"/>
    </row>
    <row r="100" spans="13:17" ht="12.75">
      <c r="M100" s="94"/>
      <c r="N100" s="94"/>
      <c r="O100" s="94"/>
      <c r="P100" s="94"/>
      <c r="Q100" s="94"/>
    </row>
    <row r="101" spans="6:17" ht="12.75">
      <c r="F101" s="164"/>
      <c r="G101" s="164"/>
      <c r="M101" s="94"/>
      <c r="N101" s="94"/>
      <c r="O101" s="94"/>
      <c r="P101" s="94"/>
      <c r="Q101" s="94"/>
    </row>
    <row r="102" spans="13:17" ht="12.75">
      <c r="M102" s="94"/>
      <c r="N102" s="94"/>
      <c r="O102" s="94"/>
      <c r="P102" s="94"/>
      <c r="Q102" s="94"/>
    </row>
    <row r="103" spans="13:17" ht="12.75">
      <c r="M103" s="94"/>
      <c r="N103" s="94"/>
      <c r="O103" s="94"/>
      <c r="P103" s="94"/>
      <c r="Q103" s="94"/>
    </row>
    <row r="104" spans="13:17" ht="12.75">
      <c r="M104" s="94"/>
      <c r="N104" s="94"/>
      <c r="O104" s="94"/>
      <c r="P104" s="94"/>
      <c r="Q104" s="94"/>
    </row>
    <row r="105" spans="13:17" ht="12.75">
      <c r="M105" s="94"/>
      <c r="N105" s="94"/>
      <c r="O105" s="94"/>
      <c r="P105" s="94"/>
      <c r="Q105" s="94"/>
    </row>
    <row r="106" spans="13:17" ht="12.75">
      <c r="M106" s="94"/>
      <c r="N106" s="94"/>
      <c r="O106" s="94"/>
      <c r="P106" s="94"/>
      <c r="Q106" s="94"/>
    </row>
    <row r="107" spans="13:17" ht="12.75">
      <c r="M107" s="94"/>
      <c r="N107" s="94"/>
      <c r="O107" s="94"/>
      <c r="P107" s="94"/>
      <c r="Q107" s="94"/>
    </row>
    <row r="108" spans="13:17" ht="12.75">
      <c r="M108" s="94"/>
      <c r="N108" s="94"/>
      <c r="O108" s="94"/>
      <c r="P108" s="94"/>
      <c r="Q108" s="94"/>
    </row>
    <row r="109" spans="13:17" ht="12.75">
      <c r="M109" s="94"/>
      <c r="N109" s="94"/>
      <c r="O109" s="94"/>
      <c r="P109" s="94"/>
      <c r="Q109" s="94"/>
    </row>
    <row r="110" spans="13:17" ht="12.75">
      <c r="M110" s="94"/>
      <c r="N110" s="94"/>
      <c r="O110" s="94"/>
      <c r="P110" s="94"/>
      <c r="Q110" s="94"/>
    </row>
    <row r="111" spans="13:17" ht="12.75">
      <c r="M111" s="94"/>
      <c r="N111" s="94"/>
      <c r="O111" s="94"/>
      <c r="P111" s="94"/>
      <c r="Q111" s="94"/>
    </row>
    <row r="112" spans="13:17" ht="12.75">
      <c r="M112" s="94"/>
      <c r="N112" s="94"/>
      <c r="O112" s="94"/>
      <c r="P112" s="94"/>
      <c r="Q112" s="94"/>
    </row>
    <row r="113" spans="13:17" ht="12.75">
      <c r="M113" s="94"/>
      <c r="N113" s="94"/>
      <c r="O113" s="94"/>
      <c r="P113" s="94"/>
      <c r="Q113" s="94"/>
    </row>
    <row r="114" spans="13:17" ht="12.75">
      <c r="M114" s="94"/>
      <c r="N114" s="94"/>
      <c r="O114" s="94"/>
      <c r="P114" s="94"/>
      <c r="Q114" s="94"/>
    </row>
    <row r="115" spans="13:17" ht="12.75">
      <c r="M115" s="94"/>
      <c r="N115" s="94"/>
      <c r="O115" s="94"/>
      <c r="P115" s="94"/>
      <c r="Q115" s="94"/>
    </row>
    <row r="116" spans="13:17" ht="12.75">
      <c r="M116" s="94"/>
      <c r="N116" s="94"/>
      <c r="O116" s="94"/>
      <c r="P116" s="94"/>
      <c r="Q116" s="94"/>
    </row>
    <row r="117" spans="13:17" ht="12.75">
      <c r="M117" s="94"/>
      <c r="N117" s="94"/>
      <c r="O117" s="94"/>
      <c r="P117" s="94"/>
      <c r="Q117" s="94"/>
    </row>
    <row r="118" spans="13:17" ht="12.75">
      <c r="M118" s="94"/>
      <c r="N118" s="94"/>
      <c r="O118" s="94"/>
      <c r="P118" s="94"/>
      <c r="Q118" s="94"/>
    </row>
    <row r="119" spans="13:17" ht="12.75">
      <c r="M119" s="94"/>
      <c r="N119" s="94"/>
      <c r="O119" s="94"/>
      <c r="P119" s="94"/>
      <c r="Q119" s="94"/>
    </row>
    <row r="120" spans="13:17" ht="12.75">
      <c r="M120" s="94"/>
      <c r="N120" s="94"/>
      <c r="O120" s="94"/>
      <c r="P120" s="94"/>
      <c r="Q120" s="94"/>
    </row>
    <row r="121" spans="13:17" ht="12.75">
      <c r="M121" s="94"/>
      <c r="N121" s="94"/>
      <c r="O121" s="94"/>
      <c r="P121" s="94"/>
      <c r="Q121" s="94"/>
    </row>
    <row r="122" spans="13:17" ht="12.75">
      <c r="M122" s="94"/>
      <c r="N122" s="94"/>
      <c r="O122" s="94"/>
      <c r="P122" s="94"/>
      <c r="Q122" s="94"/>
    </row>
    <row r="123" spans="13:17" ht="12.75">
      <c r="M123" s="94"/>
      <c r="N123" s="94"/>
      <c r="O123" s="94"/>
      <c r="P123" s="94"/>
      <c r="Q123" s="94"/>
    </row>
    <row r="124" spans="13:17" ht="12.75">
      <c r="M124" s="94"/>
      <c r="N124" s="94"/>
      <c r="O124" s="94"/>
      <c r="P124" s="94"/>
      <c r="Q124" s="94"/>
    </row>
    <row r="125" spans="13:17" ht="12.75">
      <c r="M125" s="94"/>
      <c r="N125" s="94"/>
      <c r="O125" s="94"/>
      <c r="P125" s="94"/>
      <c r="Q125" s="94"/>
    </row>
    <row r="126" spans="13:17" ht="12.75">
      <c r="M126" s="94"/>
      <c r="N126" s="94"/>
      <c r="O126" s="94"/>
      <c r="P126" s="94"/>
      <c r="Q126" s="94"/>
    </row>
    <row r="127" spans="13:17" ht="12.75">
      <c r="M127" s="94"/>
      <c r="N127" s="94"/>
      <c r="O127" s="94"/>
      <c r="P127" s="94"/>
      <c r="Q127" s="94"/>
    </row>
    <row r="128" spans="13:17" ht="12.75">
      <c r="M128" s="94"/>
      <c r="N128" s="94"/>
      <c r="O128" s="94"/>
      <c r="P128" s="94"/>
      <c r="Q128" s="94"/>
    </row>
    <row r="129" spans="13:17" ht="12.75">
      <c r="M129" s="94"/>
      <c r="N129" s="94"/>
      <c r="O129" s="94"/>
      <c r="P129" s="94"/>
      <c r="Q129" s="94"/>
    </row>
    <row r="130" spans="13:17" ht="12.75">
      <c r="M130" s="94"/>
      <c r="N130" s="94"/>
      <c r="O130" s="94"/>
      <c r="P130" s="94"/>
      <c r="Q130" s="94"/>
    </row>
    <row r="131" spans="13:17" ht="12.75">
      <c r="M131" s="94"/>
      <c r="N131" s="94"/>
      <c r="O131" s="94"/>
      <c r="P131" s="94"/>
      <c r="Q131" s="94"/>
    </row>
  </sheetData>
  <printOptions/>
  <pageMargins left="0.26" right="0.29" top="0.62" bottom="0.41" header="0.5" footer="0.29"/>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codeName="Sheet9"/>
  <dimension ref="A3:P242"/>
  <sheetViews>
    <sheetView workbookViewId="0" topLeftCell="A1">
      <selection activeCell="A2" sqref="A2:P68"/>
    </sheetView>
  </sheetViews>
  <sheetFormatPr defaultColWidth="9.140625" defaultRowHeight="12.75"/>
  <cols>
    <col min="3" max="3" width="23.8515625" style="0" customWidth="1"/>
    <col min="4" max="4" width="18.00390625" style="0" customWidth="1"/>
    <col min="5" max="5" width="14.57421875" style="0" customWidth="1"/>
    <col min="6" max="6" width="13.8515625" style="0" customWidth="1"/>
    <col min="7" max="7" width="17.7109375" style="0" customWidth="1"/>
  </cols>
  <sheetData>
    <row r="3" spans="3:4" ht="12.75">
      <c r="C3" s="438" t="s">
        <v>424</v>
      </c>
      <c r="D3" s="438"/>
    </row>
    <row r="4" spans="3:4" ht="13.5" thickBot="1">
      <c r="C4" s="438"/>
      <c r="D4" s="438"/>
    </row>
    <row r="5" spans="2:16" ht="13.5" thickBot="1">
      <c r="B5" s="226" t="s">
        <v>243</v>
      </c>
      <c r="C5" s="439" t="s">
        <v>60</v>
      </c>
      <c r="D5" s="440" t="s">
        <v>245</v>
      </c>
      <c r="E5" s="17" t="s">
        <v>244</v>
      </c>
      <c r="F5" s="226" t="s">
        <v>374</v>
      </c>
      <c r="G5" s="226" t="s">
        <v>242</v>
      </c>
      <c r="H5" s="18" t="s">
        <v>241</v>
      </c>
      <c r="I5" s="389" t="s">
        <v>372</v>
      </c>
      <c r="J5" s="76" t="s">
        <v>240</v>
      </c>
      <c r="K5" s="18" t="s">
        <v>237</v>
      </c>
      <c r="L5" s="19" t="s">
        <v>239</v>
      </c>
      <c r="M5" s="17" t="s">
        <v>238</v>
      </c>
      <c r="N5" s="227" t="s">
        <v>312</v>
      </c>
      <c r="O5" s="226" t="s">
        <v>59</v>
      </c>
      <c r="P5" s="226" t="s">
        <v>405</v>
      </c>
    </row>
    <row r="6" spans="3:4" ht="12.75">
      <c r="C6" s="438"/>
      <c r="D6" s="438"/>
    </row>
    <row r="7" spans="1:16" ht="12.75">
      <c r="A7" t="s">
        <v>92</v>
      </c>
      <c r="B7">
        <v>27</v>
      </c>
      <c r="C7" s="438" t="s">
        <v>43</v>
      </c>
      <c r="D7" s="438" t="s">
        <v>280</v>
      </c>
      <c r="E7" t="s">
        <v>290</v>
      </c>
      <c r="F7">
        <v>40</v>
      </c>
      <c r="G7">
        <v>0.8</v>
      </c>
      <c r="H7">
        <v>0.7</v>
      </c>
      <c r="I7">
        <v>6.055173611</v>
      </c>
      <c r="J7">
        <v>0.1</v>
      </c>
      <c r="K7">
        <v>1497.2184634981816</v>
      </c>
      <c r="L7">
        <v>11977.747707985453</v>
      </c>
      <c r="M7">
        <v>10480.52924448727</v>
      </c>
      <c r="N7">
        <v>0.2</v>
      </c>
      <c r="O7">
        <v>0.6498344025599746</v>
      </c>
      <c r="P7">
        <v>0.025</v>
      </c>
    </row>
    <row r="8" spans="2:16" ht="12.75">
      <c r="B8">
        <v>28</v>
      </c>
      <c r="C8" s="438" t="s">
        <v>47</v>
      </c>
      <c r="D8" s="438" t="s">
        <v>47</v>
      </c>
      <c r="F8">
        <v>200</v>
      </c>
      <c r="G8">
        <v>0</v>
      </c>
      <c r="I8">
        <v>1.089259259</v>
      </c>
      <c r="K8">
        <v>0</v>
      </c>
      <c r="L8">
        <v>0</v>
      </c>
      <c r="M8">
        <v>0</v>
      </c>
      <c r="N8">
        <v>0.7</v>
      </c>
      <c r="O8">
        <v>0.34655360749837505</v>
      </c>
      <c r="P8">
        <v>0.005</v>
      </c>
    </row>
    <row r="9" spans="2:16" ht="12.75">
      <c r="B9">
        <v>29</v>
      </c>
      <c r="C9" s="438" t="s">
        <v>36</v>
      </c>
      <c r="D9" s="438" t="s">
        <v>276</v>
      </c>
      <c r="F9">
        <v>200</v>
      </c>
      <c r="G9">
        <v>0</v>
      </c>
      <c r="I9">
        <v>0.903689236</v>
      </c>
      <c r="K9">
        <v>0</v>
      </c>
      <c r="L9">
        <v>0</v>
      </c>
      <c r="M9">
        <v>0</v>
      </c>
      <c r="N9">
        <v>0.7</v>
      </c>
      <c r="O9">
        <v>0.3465288687308693</v>
      </c>
      <c r="P9">
        <v>0.005</v>
      </c>
    </row>
    <row r="10" spans="2:16" ht="12.75">
      <c r="B10">
        <v>30</v>
      </c>
      <c r="C10" s="438" t="s">
        <v>45</v>
      </c>
      <c r="D10" s="438" t="s">
        <v>45</v>
      </c>
      <c r="F10">
        <v>200</v>
      </c>
      <c r="G10">
        <v>0</v>
      </c>
      <c r="I10">
        <v>0.903689236</v>
      </c>
      <c r="K10">
        <v>0</v>
      </c>
      <c r="L10">
        <v>0</v>
      </c>
      <c r="M10">
        <v>0</v>
      </c>
      <c r="N10">
        <v>0.65</v>
      </c>
      <c r="O10">
        <v>0.2970035414822943</v>
      </c>
      <c r="P10">
        <v>0.005</v>
      </c>
    </row>
    <row r="11" spans="2:16" ht="12.75">
      <c r="B11">
        <v>31</v>
      </c>
      <c r="C11" s="438" t="s">
        <v>35</v>
      </c>
      <c r="D11" s="438" t="s">
        <v>274</v>
      </c>
      <c r="F11">
        <v>200</v>
      </c>
      <c r="G11">
        <v>0.3</v>
      </c>
      <c r="I11">
        <v>2.942098765</v>
      </c>
      <c r="K11">
        <v>0</v>
      </c>
      <c r="L11">
        <v>4490.372978557974</v>
      </c>
      <c r="M11">
        <v>0</v>
      </c>
      <c r="N11">
        <v>0.63</v>
      </c>
      <c r="O11">
        <v>0.2809292404002737</v>
      </c>
      <c r="P11">
        <v>0.005</v>
      </c>
    </row>
    <row r="12" spans="2:16" ht="12.75">
      <c r="B12">
        <v>32</v>
      </c>
      <c r="C12" s="438" t="s">
        <v>35</v>
      </c>
      <c r="D12" s="438" t="s">
        <v>274</v>
      </c>
      <c r="F12">
        <v>200</v>
      </c>
      <c r="G12">
        <v>0.3</v>
      </c>
      <c r="I12">
        <v>2.942098765</v>
      </c>
      <c r="K12">
        <v>0</v>
      </c>
      <c r="L12">
        <v>4490.052432787488</v>
      </c>
      <c r="M12">
        <v>0</v>
      </c>
      <c r="N12">
        <v>0.63</v>
      </c>
      <c r="O12">
        <v>0.28090918623545347</v>
      </c>
      <c r="P12">
        <v>0.005</v>
      </c>
    </row>
    <row r="13" spans="2:16" ht="12.75">
      <c r="B13">
        <v>33</v>
      </c>
      <c r="C13" s="438" t="s">
        <v>35</v>
      </c>
      <c r="D13" s="438" t="s">
        <v>275</v>
      </c>
      <c r="F13">
        <v>150</v>
      </c>
      <c r="G13">
        <v>0.3</v>
      </c>
      <c r="I13">
        <v>2.942098765</v>
      </c>
      <c r="K13">
        <v>0</v>
      </c>
      <c r="L13">
        <v>4489.7319098991975</v>
      </c>
      <c r="M13">
        <v>0</v>
      </c>
      <c r="N13">
        <v>0.58</v>
      </c>
      <c r="O13">
        <v>0.32993326792322153</v>
      </c>
      <c r="P13">
        <v>0.006666666666666667</v>
      </c>
    </row>
    <row r="14" spans="2:16" ht="12.75">
      <c r="B14">
        <v>34</v>
      </c>
      <c r="C14" s="438" t="s">
        <v>25</v>
      </c>
      <c r="D14" s="438" t="s">
        <v>267</v>
      </c>
      <c r="F14">
        <v>80</v>
      </c>
      <c r="G14">
        <v>0</v>
      </c>
      <c r="I14">
        <v>1.557967836</v>
      </c>
      <c r="K14">
        <v>0</v>
      </c>
      <c r="L14">
        <v>0</v>
      </c>
      <c r="M14">
        <v>0</v>
      </c>
      <c r="N14">
        <v>0.35</v>
      </c>
      <c r="O14">
        <v>0.39969830928520905</v>
      </c>
      <c r="P14">
        <v>0.0125</v>
      </c>
    </row>
    <row r="15" spans="2:16" ht="12.75">
      <c r="B15">
        <v>35</v>
      </c>
      <c r="C15" s="438" t="s">
        <v>55</v>
      </c>
      <c r="D15" s="438" t="s">
        <v>285</v>
      </c>
      <c r="F15">
        <v>125</v>
      </c>
      <c r="G15">
        <v>0.5</v>
      </c>
      <c r="I15">
        <v>1.393263889</v>
      </c>
      <c r="K15">
        <v>0</v>
      </c>
      <c r="L15">
        <v>7481.818221271113</v>
      </c>
      <c r="M15">
        <v>0</v>
      </c>
      <c r="N15">
        <v>0.46</v>
      </c>
      <c r="O15">
        <v>0.30789375396177415</v>
      </c>
      <c r="P15">
        <v>0.008</v>
      </c>
    </row>
    <row r="16" spans="3:4" ht="12.75">
      <c r="C16" s="438"/>
      <c r="D16" s="438"/>
    </row>
    <row r="18" spans="1:16" ht="12.75">
      <c r="A18" t="s">
        <v>408</v>
      </c>
      <c r="B18">
        <v>47</v>
      </c>
      <c r="C18" t="s">
        <v>29</v>
      </c>
      <c r="D18" t="s">
        <v>268</v>
      </c>
      <c r="F18">
        <v>50</v>
      </c>
      <c r="G18">
        <v>0.6</v>
      </c>
      <c r="I18">
        <v>10.41560185</v>
      </c>
      <c r="K18">
        <v>0</v>
      </c>
      <c r="L18">
        <v>8970.4939823582</v>
      </c>
      <c r="M18">
        <v>0</v>
      </c>
      <c r="N18">
        <v>0.5</v>
      </c>
      <c r="O18">
        <v>0.8306012946627964</v>
      </c>
      <c r="P18">
        <v>0.02</v>
      </c>
    </row>
    <row r="19" spans="2:16" ht="12.75">
      <c r="B19">
        <v>48</v>
      </c>
      <c r="C19" t="s">
        <v>46</v>
      </c>
      <c r="D19" t="s">
        <v>46</v>
      </c>
      <c r="F19">
        <v>200</v>
      </c>
      <c r="G19">
        <v>0</v>
      </c>
      <c r="I19">
        <v>0.483333333</v>
      </c>
      <c r="K19">
        <v>0</v>
      </c>
      <c r="L19">
        <v>0</v>
      </c>
      <c r="M19">
        <v>0</v>
      </c>
      <c r="N19">
        <v>0.65</v>
      </c>
      <c r="O19">
        <v>0.2966221436063352</v>
      </c>
      <c r="P19">
        <v>0.005</v>
      </c>
    </row>
    <row r="20" spans="2:16" ht="12.75">
      <c r="B20">
        <v>49</v>
      </c>
      <c r="C20" t="s">
        <v>33</v>
      </c>
      <c r="D20" t="s">
        <v>272</v>
      </c>
      <c r="F20">
        <v>30</v>
      </c>
      <c r="G20">
        <v>0.6</v>
      </c>
      <c r="I20">
        <v>3.174791667</v>
      </c>
      <c r="K20">
        <v>0</v>
      </c>
      <c r="L20">
        <v>8969.213308665103</v>
      </c>
      <c r="M20">
        <v>0</v>
      </c>
      <c r="N20">
        <v>0.5</v>
      </c>
      <c r="O20">
        <v>1.3841378562754787</v>
      </c>
      <c r="P20">
        <v>0.03333333333333333</v>
      </c>
    </row>
    <row r="21" spans="2:16" ht="12.75">
      <c r="B21">
        <v>50</v>
      </c>
      <c r="C21" t="s">
        <v>46</v>
      </c>
      <c r="D21" t="s">
        <v>46</v>
      </c>
      <c r="F21">
        <v>200</v>
      </c>
      <c r="G21">
        <v>0</v>
      </c>
      <c r="I21">
        <v>0.483333333</v>
      </c>
      <c r="K21">
        <v>0</v>
      </c>
      <c r="L21">
        <v>0</v>
      </c>
      <c r="M21">
        <v>0</v>
      </c>
      <c r="N21">
        <v>0.65</v>
      </c>
      <c r="O21">
        <v>0.29657979630897857</v>
      </c>
      <c r="P21">
        <v>0.005</v>
      </c>
    </row>
    <row r="22" spans="2:16" ht="12.75">
      <c r="B22">
        <v>51</v>
      </c>
      <c r="C22" t="s">
        <v>38</v>
      </c>
      <c r="D22" t="s">
        <v>278</v>
      </c>
      <c r="E22" t="s">
        <v>289</v>
      </c>
      <c r="F22">
        <v>25</v>
      </c>
      <c r="G22">
        <v>3.5</v>
      </c>
      <c r="H22">
        <v>2.25</v>
      </c>
      <c r="I22">
        <v>11.08736111</v>
      </c>
      <c r="J22">
        <v>2</v>
      </c>
      <c r="K22">
        <v>29893.10939269181</v>
      </c>
      <c r="L22">
        <v>52312.94143721067</v>
      </c>
      <c r="M22">
        <v>33629.74806677829</v>
      </c>
      <c r="N22">
        <v>0.2</v>
      </c>
      <c r="O22">
        <v>1.0379551872462434</v>
      </c>
      <c r="P22">
        <v>0.04</v>
      </c>
    </row>
    <row r="23" spans="2:16" ht="12.75">
      <c r="B23">
        <v>52</v>
      </c>
      <c r="C23" t="s">
        <v>47</v>
      </c>
      <c r="D23" t="s">
        <v>47</v>
      </c>
      <c r="F23">
        <v>200</v>
      </c>
      <c r="G23">
        <v>0</v>
      </c>
      <c r="I23">
        <v>1.089259259</v>
      </c>
      <c r="K23">
        <v>0</v>
      </c>
      <c r="L23">
        <v>0</v>
      </c>
      <c r="M23">
        <v>0</v>
      </c>
      <c r="N23">
        <v>0.7</v>
      </c>
      <c r="O23">
        <v>0.3459603642335622</v>
      </c>
      <c r="P23">
        <v>0.005</v>
      </c>
    </row>
    <row r="24" spans="2:16" ht="12.75">
      <c r="B24">
        <v>53</v>
      </c>
      <c r="C24" t="s">
        <v>36</v>
      </c>
      <c r="D24" t="s">
        <v>276</v>
      </c>
      <c r="F24">
        <v>200</v>
      </c>
      <c r="G24">
        <v>0</v>
      </c>
      <c r="I24">
        <v>0.903689236</v>
      </c>
      <c r="K24">
        <v>0</v>
      </c>
      <c r="L24">
        <v>0</v>
      </c>
      <c r="M24">
        <v>0</v>
      </c>
      <c r="N24">
        <v>0.7</v>
      </c>
      <c r="O24">
        <v>0.34593566781479246</v>
      </c>
      <c r="P24">
        <v>0.005</v>
      </c>
    </row>
    <row r="25" spans="2:16" ht="12.75">
      <c r="B25">
        <v>54</v>
      </c>
      <c r="C25" t="s">
        <v>45</v>
      </c>
      <c r="D25" t="s">
        <v>45</v>
      </c>
      <c r="F25">
        <v>200</v>
      </c>
      <c r="G25">
        <v>0</v>
      </c>
      <c r="I25">
        <v>0.903689236</v>
      </c>
      <c r="K25">
        <v>0</v>
      </c>
      <c r="L25">
        <v>0</v>
      </c>
      <c r="M25">
        <v>0</v>
      </c>
      <c r="N25">
        <v>0.65</v>
      </c>
      <c r="O25">
        <v>0.2964951198505537</v>
      </c>
      <c r="P25">
        <v>0.005</v>
      </c>
    </row>
    <row r="26" spans="2:16" ht="12.75">
      <c r="B26">
        <v>55</v>
      </c>
      <c r="C26" t="s">
        <v>21</v>
      </c>
      <c r="D26" t="s">
        <v>263</v>
      </c>
      <c r="F26">
        <v>25</v>
      </c>
      <c r="G26">
        <v>1.5</v>
      </c>
      <c r="I26">
        <v>4.683229167</v>
      </c>
      <c r="K26">
        <v>0</v>
      </c>
      <c r="L26">
        <v>22413.430961236598</v>
      </c>
      <c r="M26">
        <v>0</v>
      </c>
      <c r="N26">
        <v>0.47</v>
      </c>
      <c r="O26">
        <v>1.5662774955441368</v>
      </c>
      <c r="P26">
        <v>0.04</v>
      </c>
    </row>
    <row r="27" spans="2:16" ht="12.75">
      <c r="B27">
        <v>56</v>
      </c>
      <c r="C27" t="s">
        <v>46</v>
      </c>
      <c r="D27" t="s">
        <v>46</v>
      </c>
      <c r="F27">
        <v>200</v>
      </c>
      <c r="G27">
        <v>0</v>
      </c>
      <c r="I27">
        <v>0.483333333</v>
      </c>
      <c r="K27">
        <v>0</v>
      </c>
      <c r="L27">
        <v>0</v>
      </c>
      <c r="M27">
        <v>0</v>
      </c>
      <c r="N27">
        <v>0.65</v>
      </c>
      <c r="O27">
        <v>0.2964527906877594</v>
      </c>
      <c r="P27">
        <v>0.005</v>
      </c>
    </row>
    <row r="28" spans="2:16" ht="12.75">
      <c r="B28">
        <v>57</v>
      </c>
      <c r="C28" t="s">
        <v>37</v>
      </c>
      <c r="D28" t="s">
        <v>277</v>
      </c>
      <c r="F28">
        <v>200</v>
      </c>
      <c r="G28">
        <v>0</v>
      </c>
      <c r="I28">
        <v>0.695802469</v>
      </c>
      <c r="K28">
        <v>0</v>
      </c>
      <c r="L28">
        <v>0</v>
      </c>
      <c r="M28">
        <v>0</v>
      </c>
      <c r="N28">
        <v>0.65</v>
      </c>
      <c r="O28">
        <v>0.29643162837258924</v>
      </c>
      <c r="P28">
        <v>0.005</v>
      </c>
    </row>
    <row r="29" spans="2:16" ht="12.75">
      <c r="B29">
        <v>58</v>
      </c>
      <c r="C29" t="s">
        <v>25</v>
      </c>
      <c r="D29" t="s">
        <v>267</v>
      </c>
      <c r="F29">
        <v>80</v>
      </c>
      <c r="G29">
        <v>0</v>
      </c>
      <c r="I29">
        <v>1.557967836</v>
      </c>
      <c r="K29">
        <v>0</v>
      </c>
      <c r="L29">
        <v>0</v>
      </c>
      <c r="M29">
        <v>0</v>
      </c>
      <c r="N29">
        <v>0.35</v>
      </c>
      <c r="O29">
        <v>0.39901409095704865</v>
      </c>
      <c r="P29">
        <v>0.0125</v>
      </c>
    </row>
    <row r="30" spans="2:16" ht="12.75">
      <c r="B30">
        <v>59</v>
      </c>
      <c r="C30" t="s">
        <v>55</v>
      </c>
      <c r="D30" t="s">
        <v>285</v>
      </c>
      <c r="F30">
        <v>125</v>
      </c>
      <c r="G30">
        <v>0.5</v>
      </c>
      <c r="I30">
        <v>1.393263889</v>
      </c>
      <c r="K30">
        <v>0</v>
      </c>
      <c r="L30">
        <v>7469.010568508925</v>
      </c>
      <c r="M30">
        <v>0</v>
      </c>
      <c r="N30">
        <v>0.46</v>
      </c>
      <c r="O30">
        <v>0.30736669006209566</v>
      </c>
      <c r="P30">
        <v>0.008</v>
      </c>
    </row>
    <row r="31" spans="2:16" ht="12.75">
      <c r="B31">
        <v>60</v>
      </c>
      <c r="C31" t="s">
        <v>36</v>
      </c>
      <c r="D31" t="s">
        <v>276</v>
      </c>
      <c r="F31">
        <v>200</v>
      </c>
      <c r="G31">
        <v>0</v>
      </c>
      <c r="I31">
        <v>0.903689236</v>
      </c>
      <c r="K31">
        <v>0</v>
      </c>
      <c r="L31">
        <v>0</v>
      </c>
      <c r="M31">
        <v>0</v>
      </c>
      <c r="N31">
        <v>0.7</v>
      </c>
      <c r="O31">
        <v>0.3457628422391414</v>
      </c>
      <c r="P31">
        <v>0.005</v>
      </c>
    </row>
    <row r="32" spans="2:16" ht="12.75">
      <c r="B32">
        <v>61</v>
      </c>
      <c r="C32" t="s">
        <v>45</v>
      </c>
      <c r="D32" t="s">
        <v>45</v>
      </c>
      <c r="F32">
        <v>200</v>
      </c>
      <c r="G32">
        <v>0</v>
      </c>
      <c r="I32">
        <v>0.903689236</v>
      </c>
      <c r="K32">
        <v>0</v>
      </c>
      <c r="L32">
        <v>0</v>
      </c>
      <c r="M32">
        <v>0</v>
      </c>
      <c r="N32">
        <v>0.65</v>
      </c>
      <c r="O32">
        <v>0.29634699421757227</v>
      </c>
      <c r="P32">
        <v>0.005</v>
      </c>
    </row>
    <row r="35" spans="1:16" ht="12.75">
      <c r="A35" t="s">
        <v>409</v>
      </c>
      <c r="B35">
        <v>130</v>
      </c>
      <c r="C35" t="s">
        <v>14</v>
      </c>
      <c r="D35" t="s">
        <v>258</v>
      </c>
      <c r="F35">
        <v>60</v>
      </c>
      <c r="G35">
        <v>2</v>
      </c>
      <c r="I35">
        <v>3.204055556</v>
      </c>
      <c r="K35">
        <v>0</v>
      </c>
      <c r="L35">
        <v>29724.99795361581</v>
      </c>
      <c r="M35">
        <v>0</v>
      </c>
      <c r="N35">
        <v>0.52</v>
      </c>
      <c r="O35">
        <v>0.7167486003476035</v>
      </c>
      <c r="P35">
        <v>0.016666666666666666</v>
      </c>
    </row>
    <row r="36" spans="2:16" ht="12.75">
      <c r="B36">
        <v>131</v>
      </c>
      <c r="C36" t="s">
        <v>15</v>
      </c>
      <c r="D36" t="s">
        <v>260</v>
      </c>
      <c r="F36">
        <v>70</v>
      </c>
      <c r="G36">
        <v>2</v>
      </c>
      <c r="I36">
        <v>3.204055556</v>
      </c>
      <c r="K36">
        <v>0</v>
      </c>
      <c r="L36">
        <v>29722.87603135741</v>
      </c>
      <c r="M36">
        <v>0</v>
      </c>
      <c r="N36">
        <v>0.52</v>
      </c>
      <c r="O36">
        <v>0.6143120872883062</v>
      </c>
      <c r="P36">
        <v>0.014285714285714285</v>
      </c>
    </row>
    <row r="37" spans="2:16" ht="12.75">
      <c r="B37">
        <v>132</v>
      </c>
      <c r="C37" t="s">
        <v>6</v>
      </c>
      <c r="D37" t="s">
        <v>252</v>
      </c>
      <c r="F37">
        <v>60</v>
      </c>
      <c r="G37">
        <v>2</v>
      </c>
      <c r="I37">
        <v>1.98162037</v>
      </c>
      <c r="K37">
        <v>0</v>
      </c>
      <c r="L37">
        <v>29720.754260572656</v>
      </c>
      <c r="M37">
        <v>0</v>
      </c>
      <c r="N37">
        <v>0.77</v>
      </c>
      <c r="O37">
        <v>1.4956096145618287</v>
      </c>
      <c r="P37">
        <v>0.016666666666666666</v>
      </c>
    </row>
    <row r="38" spans="2:16" ht="12.75">
      <c r="B38">
        <v>133</v>
      </c>
      <c r="C38" t="s">
        <v>36</v>
      </c>
      <c r="D38" t="s">
        <v>276</v>
      </c>
      <c r="F38">
        <v>200</v>
      </c>
      <c r="G38">
        <v>0</v>
      </c>
      <c r="I38">
        <v>0.903689236</v>
      </c>
      <c r="K38">
        <v>0</v>
      </c>
      <c r="L38">
        <v>0</v>
      </c>
      <c r="M38">
        <v>0</v>
      </c>
      <c r="N38">
        <v>0.7</v>
      </c>
      <c r="O38">
        <v>0.3439656555700318</v>
      </c>
      <c r="P38">
        <v>0.005</v>
      </c>
    </row>
    <row r="39" spans="2:16" ht="12.75">
      <c r="B39">
        <v>134</v>
      </c>
      <c r="C39" t="s">
        <v>49</v>
      </c>
      <c r="D39" t="s">
        <v>281</v>
      </c>
      <c r="F39">
        <v>40</v>
      </c>
      <c r="G39">
        <v>1.5</v>
      </c>
      <c r="I39">
        <v>3.204055556</v>
      </c>
      <c r="K39">
        <v>0</v>
      </c>
      <c r="L39">
        <v>22287.38338003565</v>
      </c>
      <c r="M39">
        <v>0</v>
      </c>
      <c r="N39">
        <v>0.49</v>
      </c>
      <c r="O39">
        <v>1.011591475128706</v>
      </c>
      <c r="P39">
        <v>0.025</v>
      </c>
    </row>
    <row r="40" spans="2:16" ht="12.75">
      <c r="B40">
        <v>135</v>
      </c>
      <c r="C40" t="s">
        <v>13</v>
      </c>
      <c r="D40" t="s">
        <v>256</v>
      </c>
      <c r="F40">
        <v>100</v>
      </c>
      <c r="G40">
        <v>1</v>
      </c>
      <c r="I40">
        <v>3.204055556</v>
      </c>
      <c r="K40">
        <v>0</v>
      </c>
      <c r="L40">
        <v>14857.194928476105</v>
      </c>
      <c r="M40">
        <v>0</v>
      </c>
      <c r="N40">
        <v>0.36</v>
      </c>
      <c r="O40">
        <v>0.3224217649408877</v>
      </c>
      <c r="P40">
        <v>0.01</v>
      </c>
    </row>
    <row r="41" spans="2:16" ht="12.75">
      <c r="B41">
        <v>136</v>
      </c>
      <c r="C41" t="s">
        <v>41</v>
      </c>
      <c r="D41" t="s">
        <v>279</v>
      </c>
      <c r="E41" t="s">
        <v>291</v>
      </c>
      <c r="F41">
        <v>30</v>
      </c>
      <c r="G41">
        <v>0.8</v>
      </c>
      <c r="H41">
        <v>0.7</v>
      </c>
      <c r="I41">
        <v>6.055173611</v>
      </c>
      <c r="J41">
        <v>0.175</v>
      </c>
      <c r="K41">
        <v>2599.8235105459707</v>
      </c>
      <c r="L41">
        <v>11884.907476781584</v>
      </c>
      <c r="M41">
        <v>10399.294042183883</v>
      </c>
      <c r="N41">
        <v>0.2</v>
      </c>
      <c r="O41">
        <v>0.8597299968736677</v>
      </c>
      <c r="P41">
        <v>0.03333333333333333</v>
      </c>
    </row>
    <row r="42" spans="2:16" ht="12.75">
      <c r="B42">
        <v>137</v>
      </c>
      <c r="C42" t="s">
        <v>47</v>
      </c>
      <c r="D42" t="s">
        <v>47</v>
      </c>
      <c r="F42">
        <v>200</v>
      </c>
      <c r="G42">
        <v>0</v>
      </c>
      <c r="I42">
        <v>1.089259259</v>
      </c>
      <c r="K42">
        <v>0</v>
      </c>
      <c r="L42">
        <v>0</v>
      </c>
      <c r="M42">
        <v>0</v>
      </c>
      <c r="N42">
        <v>0.7</v>
      </c>
      <c r="O42">
        <v>0.34386744998119556</v>
      </c>
      <c r="P42">
        <v>0.005</v>
      </c>
    </row>
    <row r="43" spans="2:16" ht="12.75">
      <c r="B43">
        <v>138</v>
      </c>
      <c r="C43" t="s">
        <v>36</v>
      </c>
      <c r="D43" t="s">
        <v>276</v>
      </c>
      <c r="F43">
        <v>200</v>
      </c>
      <c r="G43">
        <v>0</v>
      </c>
      <c r="I43">
        <v>0.903689236</v>
      </c>
      <c r="K43">
        <v>0</v>
      </c>
      <c r="L43">
        <v>0</v>
      </c>
      <c r="M43">
        <v>0</v>
      </c>
      <c r="N43">
        <v>0.7</v>
      </c>
      <c r="O43">
        <v>0.34384290296534054</v>
      </c>
      <c r="P43">
        <v>0.005</v>
      </c>
    </row>
    <row r="44" spans="2:16" ht="12.75">
      <c r="B44">
        <v>139</v>
      </c>
      <c r="C44" t="s">
        <v>45</v>
      </c>
      <c r="D44" t="s">
        <v>45</v>
      </c>
      <c r="F44">
        <v>200</v>
      </c>
      <c r="G44">
        <v>0</v>
      </c>
      <c r="I44">
        <v>0.903689236</v>
      </c>
      <c r="K44">
        <v>0</v>
      </c>
      <c r="L44">
        <v>0</v>
      </c>
      <c r="M44">
        <v>0</v>
      </c>
      <c r="N44">
        <v>0.65</v>
      </c>
      <c r="O44">
        <v>0.2947014494586661</v>
      </c>
      <c r="P44">
        <v>0.005</v>
      </c>
    </row>
    <row r="45" spans="2:16" ht="12.75">
      <c r="B45">
        <v>140</v>
      </c>
      <c r="C45" t="s">
        <v>18</v>
      </c>
      <c r="D45" t="s">
        <v>262</v>
      </c>
      <c r="F45">
        <v>60</v>
      </c>
      <c r="G45">
        <v>1.5</v>
      </c>
      <c r="I45">
        <v>4.683229167</v>
      </c>
      <c r="K45">
        <v>0</v>
      </c>
      <c r="L45">
        <v>22277.83915953662</v>
      </c>
      <c r="M45">
        <v>0</v>
      </c>
      <c r="N45">
        <v>0.47</v>
      </c>
      <c r="O45">
        <v>0.648667573944113</v>
      </c>
      <c r="P45">
        <v>0.016666666666666666</v>
      </c>
    </row>
    <row r="46" spans="2:16" ht="12.75">
      <c r="B46">
        <v>141</v>
      </c>
      <c r="C46" t="s">
        <v>24</v>
      </c>
      <c r="D46" t="s">
        <v>265</v>
      </c>
      <c r="F46">
        <v>30</v>
      </c>
      <c r="G46">
        <v>1.5</v>
      </c>
      <c r="I46">
        <v>4.189074074</v>
      </c>
      <c r="K46">
        <v>0</v>
      </c>
      <c r="L46">
        <v>22276.248853530356</v>
      </c>
      <c r="M46">
        <v>0</v>
      </c>
      <c r="N46">
        <v>0.41</v>
      </c>
      <c r="O46">
        <v>1.1653195675627934</v>
      </c>
      <c r="P46">
        <v>0.03333333333333333</v>
      </c>
    </row>
    <row r="47" spans="2:16" ht="12.75">
      <c r="B47">
        <v>142</v>
      </c>
      <c r="C47" t="s">
        <v>55</v>
      </c>
      <c r="D47" t="s">
        <v>286</v>
      </c>
      <c r="F47">
        <v>125</v>
      </c>
      <c r="G47">
        <v>0.5</v>
      </c>
      <c r="I47">
        <v>1.393263889</v>
      </c>
      <c r="K47">
        <v>0</v>
      </c>
      <c r="L47">
        <v>7424.88622034942</v>
      </c>
      <c r="M47">
        <v>0</v>
      </c>
      <c r="N47">
        <v>0.46</v>
      </c>
      <c r="O47">
        <v>0.3055508732654082</v>
      </c>
      <c r="P47">
        <v>0.008</v>
      </c>
    </row>
    <row r="48" spans="2:16" ht="12.75">
      <c r="B48">
        <v>143</v>
      </c>
      <c r="C48" t="s">
        <v>45</v>
      </c>
      <c r="D48" t="s">
        <v>45</v>
      </c>
      <c r="F48">
        <v>200</v>
      </c>
      <c r="G48">
        <v>0</v>
      </c>
      <c r="I48">
        <v>0.903689236</v>
      </c>
      <c r="K48">
        <v>0</v>
      </c>
      <c r="L48">
        <v>0</v>
      </c>
      <c r="M48">
        <v>0</v>
      </c>
      <c r="N48">
        <v>0.65</v>
      </c>
      <c r="O48">
        <v>0.2946173092868021</v>
      </c>
      <c r="P48">
        <v>0.005</v>
      </c>
    </row>
    <row r="49" spans="2:16" ht="12.75">
      <c r="B49">
        <v>144</v>
      </c>
      <c r="C49" t="s">
        <v>36</v>
      </c>
      <c r="D49" t="s">
        <v>276</v>
      </c>
      <c r="F49">
        <v>200</v>
      </c>
      <c r="G49">
        <v>0</v>
      </c>
      <c r="I49">
        <v>0.903689236</v>
      </c>
      <c r="K49">
        <v>0</v>
      </c>
      <c r="L49">
        <v>0</v>
      </c>
      <c r="M49">
        <v>0</v>
      </c>
      <c r="N49">
        <v>0.7</v>
      </c>
      <c r="O49">
        <v>0.3436956576639532</v>
      </c>
      <c r="P49">
        <v>0.005</v>
      </c>
    </row>
    <row r="50" spans="2:16" ht="12.75">
      <c r="B50">
        <v>145</v>
      </c>
      <c r="C50" t="s">
        <v>31</v>
      </c>
      <c r="D50" t="s">
        <v>271</v>
      </c>
      <c r="F50">
        <v>35</v>
      </c>
      <c r="G50">
        <v>0.5</v>
      </c>
      <c r="I50">
        <v>3.174791667</v>
      </c>
      <c r="K50">
        <v>0</v>
      </c>
      <c r="L50">
        <v>7423.296254888655</v>
      </c>
      <c r="M50">
        <v>0</v>
      </c>
      <c r="N50">
        <v>0.5</v>
      </c>
      <c r="O50">
        <v>1.178300992839469</v>
      </c>
      <c r="P50">
        <v>0.02857142857142857</v>
      </c>
    </row>
    <row r="51" spans="2:16" ht="12.75">
      <c r="B51">
        <v>146</v>
      </c>
      <c r="C51" t="s">
        <v>52</v>
      </c>
      <c r="D51" t="s">
        <v>52</v>
      </c>
      <c r="F51">
        <v>25</v>
      </c>
      <c r="G51">
        <v>0</v>
      </c>
      <c r="I51">
        <v>1.001944444</v>
      </c>
      <c r="K51">
        <v>0</v>
      </c>
      <c r="L51">
        <v>0</v>
      </c>
      <c r="M51">
        <v>0</v>
      </c>
      <c r="N51">
        <v>0.61</v>
      </c>
      <c r="O51">
        <v>2.1147482456029927</v>
      </c>
      <c r="P51">
        <v>0.04</v>
      </c>
    </row>
    <row r="52" spans="2:16" ht="12.75">
      <c r="B52">
        <v>147</v>
      </c>
      <c r="C52" t="s">
        <v>56</v>
      </c>
      <c r="D52" t="s">
        <v>286</v>
      </c>
      <c r="F52">
        <v>125</v>
      </c>
      <c r="G52">
        <v>0.5</v>
      </c>
      <c r="I52">
        <v>1.393263889</v>
      </c>
      <c r="K52">
        <v>0</v>
      </c>
      <c r="L52">
        <v>7422.236467072242</v>
      </c>
      <c r="M52">
        <v>0</v>
      </c>
      <c r="N52">
        <v>0.46</v>
      </c>
      <c r="O52">
        <v>0.3054418299206684</v>
      </c>
      <c r="P52">
        <v>0.008</v>
      </c>
    </row>
    <row r="53" spans="2:16" ht="12.75">
      <c r="B53">
        <v>148</v>
      </c>
      <c r="C53" t="s">
        <v>10</v>
      </c>
      <c r="D53" t="s">
        <v>253</v>
      </c>
      <c r="F53">
        <v>30</v>
      </c>
      <c r="G53">
        <v>1.5</v>
      </c>
      <c r="I53">
        <v>3.204055556</v>
      </c>
      <c r="K53">
        <v>0</v>
      </c>
      <c r="L53">
        <v>22265.119889709487</v>
      </c>
      <c r="M53">
        <v>0</v>
      </c>
      <c r="N53">
        <v>0.36</v>
      </c>
      <c r="O53">
        <v>1.0737422786318231</v>
      </c>
      <c r="P53">
        <v>0.03333333333333333</v>
      </c>
    </row>
    <row r="54" spans="2:16" ht="12.75">
      <c r="B54">
        <v>149</v>
      </c>
      <c r="C54" t="s">
        <v>46</v>
      </c>
      <c r="D54" t="s">
        <v>46</v>
      </c>
      <c r="F54">
        <v>200</v>
      </c>
      <c r="G54">
        <v>0</v>
      </c>
      <c r="I54">
        <v>0.483333333</v>
      </c>
      <c r="K54">
        <v>0</v>
      </c>
      <c r="L54">
        <v>0</v>
      </c>
      <c r="M54">
        <v>0</v>
      </c>
      <c r="N54">
        <v>0.65</v>
      </c>
      <c r="O54">
        <v>0.2944911440697051</v>
      </c>
      <c r="P54">
        <v>0.005</v>
      </c>
    </row>
    <row r="55" spans="2:16" ht="12.75">
      <c r="B55">
        <v>150</v>
      </c>
      <c r="C55" t="s">
        <v>36</v>
      </c>
      <c r="D55" t="s">
        <v>276</v>
      </c>
      <c r="F55">
        <v>200</v>
      </c>
      <c r="G55">
        <v>0</v>
      </c>
      <c r="I55">
        <v>0.903689236</v>
      </c>
      <c r="K55">
        <v>0</v>
      </c>
      <c r="L55">
        <v>0</v>
      </c>
      <c r="M55">
        <v>0</v>
      </c>
      <c r="N55">
        <v>0.7</v>
      </c>
      <c r="O55">
        <v>0.34354847541804434</v>
      </c>
      <c r="P55">
        <v>0.005</v>
      </c>
    </row>
    <row r="56" spans="2:16" ht="12.75">
      <c r="B56">
        <v>151</v>
      </c>
      <c r="C56" t="s">
        <v>4</v>
      </c>
      <c r="D56" t="s">
        <v>249</v>
      </c>
      <c r="F56">
        <v>30</v>
      </c>
      <c r="G56">
        <v>2</v>
      </c>
      <c r="I56">
        <v>1.98162037</v>
      </c>
      <c r="K56">
        <v>0</v>
      </c>
      <c r="L56">
        <v>29680.469381280138</v>
      </c>
      <c r="M56">
        <v>0</v>
      </c>
      <c r="N56">
        <v>0.77</v>
      </c>
      <c r="O56">
        <v>2.9871647928019462</v>
      </c>
      <c r="P56">
        <v>0.03333333333333333</v>
      </c>
    </row>
    <row r="57" spans="2:16" ht="12.75">
      <c r="B57">
        <v>152</v>
      </c>
      <c r="C57" t="s">
        <v>46</v>
      </c>
      <c r="D57" t="s">
        <v>46</v>
      </c>
      <c r="F57">
        <v>200</v>
      </c>
      <c r="G57">
        <v>0</v>
      </c>
      <c r="I57">
        <v>0.483333333</v>
      </c>
      <c r="K57">
        <v>0</v>
      </c>
      <c r="L57">
        <v>0</v>
      </c>
      <c r="M57">
        <v>0</v>
      </c>
      <c r="N57">
        <v>0.65</v>
      </c>
      <c r="O57">
        <v>0.29442808172320223</v>
      </c>
      <c r="P57">
        <v>0.005</v>
      </c>
    </row>
    <row r="58" spans="2:16" ht="12.75">
      <c r="B58">
        <v>153</v>
      </c>
      <c r="C58" t="s">
        <v>36</v>
      </c>
      <c r="D58" t="s">
        <v>276</v>
      </c>
      <c r="F58">
        <v>200</v>
      </c>
      <c r="G58">
        <v>0</v>
      </c>
      <c r="I58">
        <v>0.903689236</v>
      </c>
      <c r="K58">
        <v>0</v>
      </c>
      <c r="L58">
        <v>0</v>
      </c>
      <c r="M58">
        <v>0</v>
      </c>
      <c r="N58">
        <v>0.7</v>
      </c>
      <c r="O58">
        <v>0.3434749079324556</v>
      </c>
      <c r="P58">
        <v>0.005</v>
      </c>
    </row>
    <row r="59" spans="2:16" ht="12.75">
      <c r="B59">
        <v>154</v>
      </c>
      <c r="C59" t="s">
        <v>42</v>
      </c>
      <c r="D59" t="s">
        <v>279</v>
      </c>
      <c r="E59" t="s">
        <v>291</v>
      </c>
      <c r="F59">
        <v>30</v>
      </c>
      <c r="G59">
        <v>0.8</v>
      </c>
      <c r="H59">
        <v>0.7</v>
      </c>
      <c r="I59">
        <v>6.055173611</v>
      </c>
      <c r="J59">
        <v>0.175</v>
      </c>
      <c r="K59">
        <v>2596.484940373232</v>
      </c>
      <c r="L59">
        <v>11869.645441706205</v>
      </c>
      <c r="M59">
        <v>10385.939761492928</v>
      </c>
      <c r="N59">
        <v>0.2</v>
      </c>
      <c r="O59">
        <v>0.8586259723456453</v>
      </c>
      <c r="P59">
        <v>0.03333333333333333</v>
      </c>
    </row>
    <row r="60" spans="2:16" ht="12.75">
      <c r="B60">
        <v>155</v>
      </c>
      <c r="C60" t="s">
        <v>47</v>
      </c>
      <c r="D60" t="s">
        <v>47</v>
      </c>
      <c r="F60">
        <v>200</v>
      </c>
      <c r="G60">
        <v>0</v>
      </c>
      <c r="I60">
        <v>1.089259259</v>
      </c>
      <c r="K60">
        <v>0</v>
      </c>
      <c r="L60">
        <v>0</v>
      </c>
      <c r="M60">
        <v>0</v>
      </c>
      <c r="N60">
        <v>0.7</v>
      </c>
      <c r="O60">
        <v>0.34342587169435174</v>
      </c>
      <c r="P60">
        <v>0.005</v>
      </c>
    </row>
    <row r="61" spans="2:16" ht="12.75">
      <c r="B61">
        <v>156</v>
      </c>
      <c r="C61" t="s">
        <v>36</v>
      </c>
      <c r="D61" t="s">
        <v>276</v>
      </c>
      <c r="F61">
        <v>200</v>
      </c>
      <c r="G61">
        <v>0</v>
      </c>
      <c r="I61">
        <v>0.903689236</v>
      </c>
      <c r="K61">
        <v>0</v>
      </c>
      <c r="L61">
        <v>0</v>
      </c>
      <c r="M61">
        <v>0</v>
      </c>
      <c r="N61">
        <v>0.7</v>
      </c>
      <c r="O61">
        <v>0.34340135620061146</v>
      </c>
      <c r="P61">
        <v>0.005</v>
      </c>
    </row>
    <row r="62" spans="2:16" ht="12.75">
      <c r="B62">
        <v>157</v>
      </c>
      <c r="C62" t="s">
        <v>45</v>
      </c>
      <c r="D62" t="s">
        <v>45</v>
      </c>
      <c r="F62">
        <v>200</v>
      </c>
      <c r="G62">
        <v>0</v>
      </c>
      <c r="I62">
        <v>0.903689236</v>
      </c>
      <c r="K62">
        <v>0</v>
      </c>
      <c r="L62">
        <v>0</v>
      </c>
      <c r="M62">
        <v>0</v>
      </c>
      <c r="N62">
        <v>0.65</v>
      </c>
      <c r="O62">
        <v>0.2943230078202108</v>
      </c>
      <c r="P62">
        <v>0.005</v>
      </c>
    </row>
    <row r="63" spans="2:16" ht="12.75">
      <c r="B63">
        <v>158</v>
      </c>
      <c r="C63" t="s">
        <v>19</v>
      </c>
      <c r="D63" t="s">
        <v>262</v>
      </c>
      <c r="F63">
        <v>30</v>
      </c>
      <c r="G63">
        <v>1.5</v>
      </c>
      <c r="I63">
        <v>4.683229167</v>
      </c>
      <c r="K63">
        <v>0</v>
      </c>
      <c r="L63">
        <v>22249.231014010813</v>
      </c>
      <c r="M63">
        <v>0</v>
      </c>
      <c r="N63">
        <v>0.47</v>
      </c>
      <c r="O63">
        <v>1.2956691715589803</v>
      </c>
      <c r="P63">
        <v>0.03333333333333333</v>
      </c>
    </row>
    <row r="64" spans="2:16" ht="12.75">
      <c r="B64">
        <v>159</v>
      </c>
      <c r="C64" t="s">
        <v>55</v>
      </c>
      <c r="D64" t="s">
        <v>286</v>
      </c>
      <c r="F64">
        <v>125</v>
      </c>
      <c r="G64">
        <v>0.5</v>
      </c>
      <c r="I64">
        <v>1.393263889</v>
      </c>
      <c r="K64">
        <v>0</v>
      </c>
      <c r="L64">
        <v>7415.880916733392</v>
      </c>
      <c r="M64">
        <v>0</v>
      </c>
      <c r="N64">
        <v>0.46</v>
      </c>
      <c r="O64">
        <v>0.30518028463923424</v>
      </c>
      <c r="P64">
        <v>0.008</v>
      </c>
    </row>
    <row r="65" spans="2:16" ht="12.75">
      <c r="B65">
        <v>160</v>
      </c>
      <c r="C65" t="s">
        <v>45</v>
      </c>
      <c r="D65" t="s">
        <v>45</v>
      </c>
      <c r="F65">
        <v>200</v>
      </c>
      <c r="G65">
        <v>0</v>
      </c>
      <c r="I65">
        <v>0.903689236</v>
      </c>
      <c r="K65">
        <v>0</v>
      </c>
      <c r="L65">
        <v>0</v>
      </c>
      <c r="M65">
        <v>0</v>
      </c>
      <c r="N65">
        <v>0.65</v>
      </c>
      <c r="O65">
        <v>0.2942599814784117</v>
      </c>
      <c r="P65">
        <v>0.005</v>
      </c>
    </row>
    <row r="66" spans="2:16" ht="12.75">
      <c r="B66">
        <v>161</v>
      </c>
      <c r="C66" t="s">
        <v>36</v>
      </c>
      <c r="D66" t="s">
        <v>276</v>
      </c>
      <c r="F66">
        <v>200</v>
      </c>
      <c r="G66">
        <v>0</v>
      </c>
      <c r="I66">
        <v>0.903689236</v>
      </c>
      <c r="K66">
        <v>0</v>
      </c>
      <c r="L66">
        <v>0</v>
      </c>
      <c r="M66">
        <v>0</v>
      </c>
      <c r="N66">
        <v>0.7</v>
      </c>
      <c r="O66">
        <v>0.3432788049800303</v>
      </c>
      <c r="P66">
        <v>0.005</v>
      </c>
    </row>
    <row r="67" spans="2:16" ht="12.75">
      <c r="B67">
        <v>162</v>
      </c>
      <c r="C67" t="s">
        <v>56</v>
      </c>
      <c r="D67" t="s">
        <v>286</v>
      </c>
      <c r="F67">
        <v>125</v>
      </c>
      <c r="G67">
        <v>0.5</v>
      </c>
      <c r="I67">
        <v>1.393263889</v>
      </c>
      <c r="K67">
        <v>0</v>
      </c>
      <c r="L67">
        <v>7414.2928796687365</v>
      </c>
      <c r="M67">
        <v>0</v>
      </c>
      <c r="N67">
        <v>0.46</v>
      </c>
      <c r="O67">
        <v>0.3051149333197011</v>
      </c>
      <c r="P67">
        <v>0.008</v>
      </c>
    </row>
    <row r="70" spans="2:16" ht="12.75">
      <c r="B70" s="232"/>
      <c r="C70" s="232"/>
      <c r="D70" s="232"/>
      <c r="E70" s="232"/>
      <c r="F70" s="232"/>
      <c r="G70" s="232"/>
      <c r="H70" s="232"/>
      <c r="I70" s="232"/>
      <c r="J70" s="429"/>
      <c r="K70" s="429"/>
      <c r="L70" s="429"/>
      <c r="M70" s="429"/>
      <c r="N70" s="429"/>
      <c r="O70" s="429"/>
      <c r="P70" s="429"/>
    </row>
    <row r="71" spans="2:16" ht="12.75">
      <c r="B71" s="232"/>
      <c r="C71" s="232"/>
      <c r="D71" s="232"/>
      <c r="E71" s="232"/>
      <c r="F71" s="232"/>
      <c r="G71" s="232"/>
      <c r="H71" s="232"/>
      <c r="I71" s="232"/>
      <c r="J71" s="429"/>
      <c r="K71" s="429"/>
      <c r="L71" s="429"/>
      <c r="M71" s="429"/>
      <c r="N71" s="429"/>
      <c r="O71" s="429"/>
      <c r="P71" s="429"/>
    </row>
    <row r="72" spans="2:16" ht="12.75">
      <c r="B72" s="232"/>
      <c r="C72" s="232"/>
      <c r="D72" s="232"/>
      <c r="E72" s="232"/>
      <c r="F72" s="232"/>
      <c r="G72" s="232"/>
      <c r="H72" s="232"/>
      <c r="I72" s="232"/>
      <c r="J72" s="429"/>
      <c r="K72" s="429"/>
      <c r="L72" s="429"/>
      <c r="M72" s="429"/>
      <c r="N72" s="429"/>
      <c r="O72" s="429"/>
      <c r="P72" s="429"/>
    </row>
    <row r="73" spans="2:16" ht="12.75">
      <c r="B73" s="232"/>
      <c r="C73" s="232"/>
      <c r="D73" s="232"/>
      <c r="E73" s="232"/>
      <c r="F73" s="232"/>
      <c r="G73" s="232"/>
      <c r="H73" s="232"/>
      <c r="I73" s="232"/>
      <c r="J73" s="429"/>
      <c r="K73" s="429"/>
      <c r="L73" s="429"/>
      <c r="M73" s="429"/>
      <c r="N73" s="429"/>
      <c r="O73" s="429"/>
      <c r="P73" s="429"/>
    </row>
    <row r="74" spans="2:16" ht="12.75">
      <c r="B74" s="232"/>
      <c r="C74" s="232"/>
      <c r="D74" s="232"/>
      <c r="E74" s="232"/>
      <c r="F74" s="232"/>
      <c r="G74" s="232"/>
      <c r="H74" s="232"/>
      <c r="I74" s="232"/>
      <c r="J74" s="429"/>
      <c r="K74" s="429"/>
      <c r="L74" s="429"/>
      <c r="M74" s="429"/>
      <c r="N74" s="429"/>
      <c r="O74" s="429"/>
      <c r="P74" s="429"/>
    </row>
    <row r="75" spans="2:16" ht="12.75">
      <c r="B75" s="232"/>
      <c r="C75" s="232"/>
      <c r="D75" s="232"/>
      <c r="E75" s="232"/>
      <c r="F75" s="232"/>
      <c r="G75" s="232"/>
      <c r="H75" s="232"/>
      <c r="I75" s="232"/>
      <c r="J75" s="429"/>
      <c r="K75" s="429"/>
      <c r="L75" s="429"/>
      <c r="M75" s="429"/>
      <c r="N75" s="429"/>
      <c r="O75" s="429"/>
      <c r="P75" s="429"/>
    </row>
    <row r="76" spans="2:16" ht="12.75">
      <c r="B76" s="232"/>
      <c r="C76" s="232"/>
      <c r="D76" s="232"/>
      <c r="E76" s="232"/>
      <c r="F76" s="232"/>
      <c r="G76" s="232"/>
      <c r="H76" s="232"/>
      <c r="I76" s="232"/>
      <c r="J76" s="429"/>
      <c r="K76" s="429"/>
      <c r="L76" s="429"/>
      <c r="M76" s="429"/>
      <c r="N76" s="429"/>
      <c r="O76" s="429"/>
      <c r="P76" s="429"/>
    </row>
    <row r="77" spans="2:16" ht="12.75">
      <c r="B77" s="232"/>
      <c r="C77" s="232"/>
      <c r="D77" s="232"/>
      <c r="E77" s="232"/>
      <c r="F77" s="232"/>
      <c r="G77" s="232"/>
      <c r="H77" s="232"/>
      <c r="I77" s="232"/>
      <c r="J77" s="429"/>
      <c r="K77" s="429"/>
      <c r="L77" s="429"/>
      <c r="M77" s="429"/>
      <c r="N77" s="429"/>
      <c r="O77" s="429"/>
      <c r="P77" s="429"/>
    </row>
    <row r="78" spans="2:16" ht="12.75">
      <c r="B78" s="232"/>
      <c r="C78" s="232"/>
      <c r="D78" s="232"/>
      <c r="E78" s="232"/>
      <c r="F78" s="232"/>
      <c r="G78" s="232"/>
      <c r="H78" s="232"/>
      <c r="I78" s="232"/>
      <c r="J78" s="429"/>
      <c r="K78" s="429"/>
      <c r="L78" s="429"/>
      <c r="M78" s="429"/>
      <c r="N78" s="429"/>
      <c r="O78" s="429"/>
      <c r="P78" s="429"/>
    </row>
    <row r="79" spans="2:16" ht="12.75">
      <c r="B79" s="232"/>
      <c r="C79" s="232"/>
      <c r="D79" s="232"/>
      <c r="E79" s="232"/>
      <c r="F79" s="232"/>
      <c r="G79" s="232"/>
      <c r="H79" s="232"/>
      <c r="I79" s="232"/>
      <c r="J79" s="429"/>
      <c r="K79" s="429"/>
      <c r="L79" s="429"/>
      <c r="M79" s="429"/>
      <c r="N79" s="429"/>
      <c r="O79" s="429"/>
      <c r="P79" s="429"/>
    </row>
    <row r="80" spans="2:16" ht="12.75">
      <c r="B80" s="232"/>
      <c r="C80" s="232"/>
      <c r="D80" s="232"/>
      <c r="E80" s="232"/>
      <c r="F80" s="232"/>
      <c r="G80" s="232"/>
      <c r="H80" s="232"/>
      <c r="I80" s="232"/>
      <c r="J80" s="429"/>
      <c r="K80" s="429"/>
      <c r="L80" s="429"/>
      <c r="M80" s="429"/>
      <c r="N80" s="429"/>
      <c r="O80" s="429"/>
      <c r="P80" s="429"/>
    </row>
    <row r="81" spans="2:16" ht="12.75">
      <c r="B81" s="232"/>
      <c r="C81" s="232"/>
      <c r="D81" s="232"/>
      <c r="E81" s="232"/>
      <c r="F81" s="232"/>
      <c r="G81" s="232"/>
      <c r="H81" s="232"/>
      <c r="I81" s="232"/>
      <c r="J81" s="429"/>
      <c r="K81" s="429"/>
      <c r="L81" s="429"/>
      <c r="M81" s="429"/>
      <c r="N81" s="429"/>
      <c r="O81" s="429"/>
      <c r="P81" s="429"/>
    </row>
    <row r="82" spans="2:16" ht="12.75">
      <c r="B82" s="232"/>
      <c r="C82" s="232"/>
      <c r="D82" s="232"/>
      <c r="E82" s="232"/>
      <c r="F82" s="232"/>
      <c r="G82" s="232"/>
      <c r="H82" s="232"/>
      <c r="I82" s="232"/>
      <c r="J82" s="429"/>
      <c r="K82" s="429"/>
      <c r="L82" s="429"/>
      <c r="M82" s="429"/>
      <c r="N82" s="429"/>
      <c r="O82" s="429"/>
      <c r="P82" s="429"/>
    </row>
    <row r="83" spans="2:16" ht="12.75">
      <c r="B83" s="232"/>
      <c r="C83" s="232"/>
      <c r="D83" s="232"/>
      <c r="E83" s="232"/>
      <c r="F83" s="232"/>
      <c r="G83" s="232"/>
      <c r="H83" s="232"/>
      <c r="I83" s="232"/>
      <c r="J83" s="429"/>
      <c r="K83" s="429"/>
      <c r="L83" s="429"/>
      <c r="M83" s="429"/>
      <c r="N83" s="429"/>
      <c r="O83" s="429"/>
      <c r="P83" s="429"/>
    </row>
    <row r="84" spans="2:16" ht="12.75">
      <c r="B84" s="232"/>
      <c r="C84" s="232"/>
      <c r="D84" s="232"/>
      <c r="E84" s="232"/>
      <c r="F84" s="232"/>
      <c r="G84" s="232"/>
      <c r="H84" s="232"/>
      <c r="I84" s="232"/>
      <c r="J84" s="429"/>
      <c r="K84" s="429"/>
      <c r="L84" s="429"/>
      <c r="M84" s="429"/>
      <c r="N84" s="429"/>
      <c r="O84" s="429"/>
      <c r="P84" s="429"/>
    </row>
    <row r="85" spans="2:16" ht="12.75">
      <c r="B85" s="232"/>
      <c r="C85" s="232"/>
      <c r="D85" s="232"/>
      <c r="E85" s="232"/>
      <c r="F85" s="232"/>
      <c r="G85" s="232"/>
      <c r="H85" s="232"/>
      <c r="I85" s="232"/>
      <c r="J85" s="429"/>
      <c r="K85" s="429"/>
      <c r="L85" s="429"/>
      <c r="M85" s="429"/>
      <c r="N85" s="429"/>
      <c r="O85" s="429"/>
      <c r="P85" s="429"/>
    </row>
    <row r="86" spans="2:16" ht="12.75">
      <c r="B86" s="232"/>
      <c r="C86" s="232"/>
      <c r="D86" s="232"/>
      <c r="E86" s="232"/>
      <c r="F86" s="232"/>
      <c r="G86" s="232"/>
      <c r="H86" s="232"/>
      <c r="I86" s="232"/>
      <c r="J86" s="429"/>
      <c r="K86" s="429"/>
      <c r="L86" s="429"/>
      <c r="M86" s="429"/>
      <c r="N86" s="429"/>
      <c r="O86" s="429"/>
      <c r="P86" s="429"/>
    </row>
    <row r="87" spans="2:16" ht="12.75">
      <c r="B87" s="232"/>
      <c r="C87" s="232"/>
      <c r="D87" s="232"/>
      <c r="E87" s="232"/>
      <c r="F87" s="232"/>
      <c r="G87" s="232"/>
      <c r="H87" s="232"/>
      <c r="I87" s="232"/>
      <c r="J87" s="429"/>
      <c r="K87" s="429"/>
      <c r="L87" s="429"/>
      <c r="M87" s="429"/>
      <c r="N87" s="429"/>
      <c r="O87" s="429"/>
      <c r="P87" s="429"/>
    </row>
    <row r="88" spans="2:16" ht="12.75">
      <c r="B88" s="232"/>
      <c r="C88" s="232"/>
      <c r="D88" s="232"/>
      <c r="E88" s="232"/>
      <c r="F88" s="232"/>
      <c r="G88" s="232"/>
      <c r="H88" s="232"/>
      <c r="I88" s="232"/>
      <c r="J88" s="429"/>
      <c r="K88" s="429"/>
      <c r="L88" s="429"/>
      <c r="M88" s="429"/>
      <c r="N88" s="429"/>
      <c r="O88" s="429"/>
      <c r="P88" s="429"/>
    </row>
    <row r="89" spans="2:16" ht="12.75">
      <c r="B89" s="232"/>
      <c r="C89" s="232"/>
      <c r="D89" s="232"/>
      <c r="E89" s="232"/>
      <c r="F89" s="232"/>
      <c r="G89" s="232"/>
      <c r="H89" s="232"/>
      <c r="I89" s="232"/>
      <c r="J89" s="429"/>
      <c r="K89" s="429"/>
      <c r="L89" s="429"/>
      <c r="M89" s="429"/>
      <c r="N89" s="429"/>
      <c r="O89" s="429"/>
      <c r="P89" s="429"/>
    </row>
    <row r="90" spans="2:16" ht="12.75">
      <c r="B90" s="232"/>
      <c r="C90" s="232"/>
      <c r="D90" s="232"/>
      <c r="E90" s="232"/>
      <c r="F90" s="232"/>
      <c r="G90" s="232"/>
      <c r="H90" s="232"/>
      <c r="I90" s="232"/>
      <c r="J90" s="429"/>
      <c r="K90" s="429"/>
      <c r="L90" s="429"/>
      <c r="M90" s="429"/>
      <c r="N90" s="429"/>
      <c r="O90" s="429"/>
      <c r="P90" s="429"/>
    </row>
    <row r="91" spans="2:16" ht="12.75">
      <c r="B91" s="232"/>
      <c r="C91" s="232"/>
      <c r="D91" s="232"/>
      <c r="E91" s="232"/>
      <c r="F91" s="232"/>
      <c r="G91" s="232"/>
      <c r="H91" s="232"/>
      <c r="I91" s="232"/>
      <c r="J91" s="429"/>
      <c r="K91" s="429"/>
      <c r="L91" s="429"/>
      <c r="M91" s="429"/>
      <c r="N91" s="429"/>
      <c r="O91" s="429"/>
      <c r="P91" s="429"/>
    </row>
    <row r="92" spans="2:16" ht="12.75">
      <c r="B92" s="232"/>
      <c r="C92" s="232"/>
      <c r="D92" s="232"/>
      <c r="E92" s="232"/>
      <c r="F92" s="232"/>
      <c r="G92" s="232"/>
      <c r="H92" s="232"/>
      <c r="I92" s="232"/>
      <c r="J92" s="429"/>
      <c r="K92" s="429"/>
      <c r="L92" s="429"/>
      <c r="M92" s="429"/>
      <c r="N92" s="429"/>
      <c r="O92" s="429"/>
      <c r="P92" s="429"/>
    </row>
    <row r="93" spans="2:16" ht="12.75">
      <c r="B93" s="232"/>
      <c r="C93" s="232"/>
      <c r="D93" s="232"/>
      <c r="E93" s="232"/>
      <c r="F93" s="232"/>
      <c r="G93" s="232"/>
      <c r="H93" s="232"/>
      <c r="I93" s="232"/>
      <c r="J93" s="429"/>
      <c r="K93" s="429"/>
      <c r="L93" s="429"/>
      <c r="M93" s="429"/>
      <c r="N93" s="429"/>
      <c r="O93" s="429"/>
      <c r="P93" s="429"/>
    </row>
    <row r="94" spans="2:16" ht="12.75">
      <c r="B94" s="232"/>
      <c r="C94" s="232"/>
      <c r="D94" s="232"/>
      <c r="E94" s="232"/>
      <c r="F94" s="232"/>
      <c r="G94" s="232"/>
      <c r="H94" s="232"/>
      <c r="I94" s="232"/>
      <c r="J94" s="429"/>
      <c r="K94" s="429"/>
      <c r="L94" s="429"/>
      <c r="M94" s="429"/>
      <c r="N94" s="429"/>
      <c r="O94" s="429"/>
      <c r="P94" s="429"/>
    </row>
    <row r="95" spans="2:16" ht="12.75">
      <c r="B95" s="232"/>
      <c r="C95" s="232"/>
      <c r="D95" s="232"/>
      <c r="E95" s="232"/>
      <c r="F95" s="232"/>
      <c r="G95" s="232"/>
      <c r="H95" s="232"/>
      <c r="I95" s="232"/>
      <c r="J95" s="429"/>
      <c r="K95" s="429"/>
      <c r="L95" s="429"/>
      <c r="M95" s="429"/>
      <c r="N95" s="429"/>
      <c r="O95" s="429"/>
      <c r="P95" s="429"/>
    </row>
    <row r="96" spans="2:16" ht="12.75">
      <c r="B96" s="232"/>
      <c r="C96" s="232"/>
      <c r="D96" s="232"/>
      <c r="E96" s="232"/>
      <c r="F96" s="232"/>
      <c r="G96" s="232"/>
      <c r="H96" s="232"/>
      <c r="I96" s="232"/>
      <c r="J96" s="429"/>
      <c r="K96" s="429"/>
      <c r="L96" s="429"/>
      <c r="M96" s="429"/>
      <c r="N96" s="429"/>
      <c r="O96" s="429"/>
      <c r="P96" s="429"/>
    </row>
    <row r="97" spans="2:16" ht="12.75">
      <c r="B97" s="232"/>
      <c r="C97" s="232"/>
      <c r="D97" s="232"/>
      <c r="E97" s="232"/>
      <c r="F97" s="232"/>
      <c r="G97" s="232"/>
      <c r="H97" s="232"/>
      <c r="I97" s="232"/>
      <c r="J97" s="429"/>
      <c r="K97" s="429"/>
      <c r="L97" s="429"/>
      <c r="M97" s="429"/>
      <c r="N97" s="429"/>
      <c r="O97" s="429"/>
      <c r="P97" s="429"/>
    </row>
    <row r="98" spans="2:16" ht="12.75">
      <c r="B98" s="232"/>
      <c r="C98" s="232"/>
      <c r="D98" s="232"/>
      <c r="E98" s="232"/>
      <c r="F98" s="232"/>
      <c r="G98" s="232"/>
      <c r="H98" s="232"/>
      <c r="I98" s="232"/>
      <c r="J98" s="429"/>
      <c r="K98" s="429"/>
      <c r="L98" s="429"/>
      <c r="M98" s="429"/>
      <c r="N98" s="429"/>
      <c r="O98" s="429"/>
      <c r="P98" s="429"/>
    </row>
    <row r="99" spans="2:16" ht="12.75">
      <c r="B99" s="232"/>
      <c r="C99" s="232"/>
      <c r="D99" s="232"/>
      <c r="E99" s="232"/>
      <c r="F99" s="232"/>
      <c r="G99" s="232"/>
      <c r="H99" s="232"/>
      <c r="I99" s="232"/>
      <c r="J99" s="429"/>
      <c r="K99" s="429"/>
      <c r="L99" s="429"/>
      <c r="M99" s="429"/>
      <c r="N99" s="429"/>
      <c r="O99" s="429"/>
      <c r="P99" s="429"/>
    </row>
    <row r="100" spans="2:16" ht="12.75">
      <c r="B100" s="232"/>
      <c r="C100" s="232"/>
      <c r="D100" s="232"/>
      <c r="E100" s="232"/>
      <c r="F100" s="232"/>
      <c r="G100" s="232"/>
      <c r="H100" s="232"/>
      <c r="I100" s="232"/>
      <c r="J100" s="429"/>
      <c r="K100" s="429"/>
      <c r="L100" s="429"/>
      <c r="M100" s="429"/>
      <c r="N100" s="429"/>
      <c r="O100" s="429"/>
      <c r="P100" s="429"/>
    </row>
    <row r="101" spans="2:16" ht="12.75">
      <c r="B101" s="232"/>
      <c r="C101" s="232"/>
      <c r="D101" s="232"/>
      <c r="E101" s="232"/>
      <c r="F101" s="232"/>
      <c r="G101" s="232"/>
      <c r="H101" s="232"/>
      <c r="I101" s="232"/>
      <c r="J101" s="429"/>
      <c r="K101" s="429"/>
      <c r="L101" s="429"/>
      <c r="M101" s="429"/>
      <c r="N101" s="429"/>
      <c r="O101" s="429"/>
      <c r="P101" s="429"/>
    </row>
    <row r="102" spans="2:16" ht="12.75">
      <c r="B102" s="232"/>
      <c r="C102" s="232"/>
      <c r="D102" s="232"/>
      <c r="E102" s="232"/>
      <c r="F102" s="232"/>
      <c r="G102" s="232"/>
      <c r="H102" s="232"/>
      <c r="I102" s="232"/>
      <c r="J102" s="429"/>
      <c r="K102" s="429"/>
      <c r="L102" s="429"/>
      <c r="M102" s="429"/>
      <c r="N102" s="429"/>
      <c r="O102" s="429"/>
      <c r="P102" s="429"/>
    </row>
    <row r="103" spans="2:16" ht="12.75">
      <c r="B103" s="232"/>
      <c r="C103" s="232"/>
      <c r="D103" s="232"/>
      <c r="E103" s="232"/>
      <c r="F103" s="232"/>
      <c r="G103" s="232"/>
      <c r="H103" s="232"/>
      <c r="I103" s="232"/>
      <c r="J103" s="429"/>
      <c r="K103" s="429"/>
      <c r="L103" s="429"/>
      <c r="M103" s="429"/>
      <c r="N103" s="429"/>
      <c r="O103" s="429"/>
      <c r="P103" s="429"/>
    </row>
    <row r="104" spans="2:16" ht="12.75">
      <c r="B104" s="232"/>
      <c r="C104" s="232"/>
      <c r="D104" s="232"/>
      <c r="E104" s="232"/>
      <c r="F104" s="232"/>
      <c r="G104" s="232"/>
      <c r="H104" s="232"/>
      <c r="I104" s="232"/>
      <c r="J104" s="429"/>
      <c r="K104" s="429"/>
      <c r="L104" s="429"/>
      <c r="M104" s="429"/>
      <c r="N104" s="429"/>
      <c r="O104" s="429"/>
      <c r="P104" s="429"/>
    </row>
    <row r="105" spans="2:16" ht="12.75">
      <c r="B105" s="232"/>
      <c r="C105" s="232"/>
      <c r="D105" s="232"/>
      <c r="E105" s="232"/>
      <c r="F105" s="232"/>
      <c r="G105" s="232"/>
      <c r="H105" s="232"/>
      <c r="I105" s="232"/>
      <c r="J105" s="429"/>
      <c r="K105" s="429"/>
      <c r="L105" s="429"/>
      <c r="M105" s="429"/>
      <c r="N105" s="429"/>
      <c r="O105" s="429"/>
      <c r="P105" s="429"/>
    </row>
    <row r="106" spans="2:16" ht="12.75">
      <c r="B106" s="232"/>
      <c r="C106" s="232"/>
      <c r="D106" s="232"/>
      <c r="E106" s="232"/>
      <c r="F106" s="232"/>
      <c r="G106" s="232"/>
      <c r="H106" s="232"/>
      <c r="I106" s="232"/>
      <c r="J106" s="429"/>
      <c r="K106" s="429"/>
      <c r="L106" s="429"/>
      <c r="M106" s="429"/>
      <c r="N106" s="429"/>
      <c r="O106" s="429"/>
      <c r="P106" s="429"/>
    </row>
    <row r="107" spans="2:16" ht="12.75">
      <c r="B107" s="232"/>
      <c r="C107" s="232"/>
      <c r="D107" s="232"/>
      <c r="E107" s="232"/>
      <c r="F107" s="232"/>
      <c r="G107" s="232"/>
      <c r="H107" s="232"/>
      <c r="I107" s="232"/>
      <c r="J107" s="429"/>
      <c r="K107" s="429"/>
      <c r="L107" s="429"/>
      <c r="M107" s="429"/>
      <c r="N107" s="429"/>
      <c r="O107" s="429"/>
      <c r="P107" s="429"/>
    </row>
    <row r="108" spans="2:16" ht="12.75">
      <c r="B108" s="232"/>
      <c r="C108" s="232"/>
      <c r="D108" s="232"/>
      <c r="E108" s="232"/>
      <c r="F108" s="232"/>
      <c r="G108" s="232"/>
      <c r="H108" s="232"/>
      <c r="I108" s="232"/>
      <c r="J108" s="429"/>
      <c r="K108" s="429"/>
      <c r="L108" s="429"/>
      <c r="M108" s="429"/>
      <c r="N108" s="429"/>
      <c r="O108" s="429"/>
      <c r="P108" s="429"/>
    </row>
    <row r="109" spans="2:16" ht="12.75">
      <c r="B109" s="232"/>
      <c r="C109" s="232"/>
      <c r="D109" s="232"/>
      <c r="E109" s="232"/>
      <c r="F109" s="232"/>
      <c r="G109" s="232"/>
      <c r="H109" s="232"/>
      <c r="I109" s="232"/>
      <c r="J109" s="429"/>
      <c r="K109" s="429"/>
      <c r="L109" s="429"/>
      <c r="M109" s="429"/>
      <c r="N109" s="429"/>
      <c r="O109" s="429"/>
      <c r="P109" s="429"/>
    </row>
    <row r="110" spans="2:16" ht="12.75">
      <c r="B110" s="232"/>
      <c r="C110" s="232"/>
      <c r="D110" s="232"/>
      <c r="E110" s="232"/>
      <c r="F110" s="232"/>
      <c r="G110" s="232"/>
      <c r="H110" s="232"/>
      <c r="I110" s="232"/>
      <c r="J110" s="429"/>
      <c r="K110" s="429"/>
      <c r="L110" s="429"/>
      <c r="M110" s="429"/>
      <c r="N110" s="429"/>
      <c r="O110" s="429"/>
      <c r="P110" s="429"/>
    </row>
    <row r="111" spans="2:16" ht="12.75">
      <c r="B111" s="232"/>
      <c r="C111" s="232"/>
      <c r="D111" s="232"/>
      <c r="E111" s="232"/>
      <c r="F111" s="232"/>
      <c r="G111" s="232"/>
      <c r="H111" s="232"/>
      <c r="I111" s="232"/>
      <c r="J111" s="429"/>
      <c r="K111" s="429"/>
      <c r="L111" s="429"/>
      <c r="M111" s="429"/>
      <c r="N111" s="429"/>
      <c r="O111" s="429"/>
      <c r="P111" s="429"/>
    </row>
    <row r="112" spans="2:16" ht="12.75">
      <c r="B112" s="232"/>
      <c r="C112" s="232"/>
      <c r="D112" s="232"/>
      <c r="E112" s="232"/>
      <c r="F112" s="232"/>
      <c r="G112" s="232"/>
      <c r="H112" s="232"/>
      <c r="I112" s="232"/>
      <c r="J112" s="429"/>
      <c r="K112" s="429"/>
      <c r="L112" s="429"/>
      <c r="M112" s="429"/>
      <c r="N112" s="429"/>
      <c r="O112" s="429"/>
      <c r="P112" s="429"/>
    </row>
    <row r="113" spans="2:16" ht="12.75">
      <c r="B113" s="232"/>
      <c r="C113" s="232"/>
      <c r="D113" s="232"/>
      <c r="E113" s="232"/>
      <c r="F113" s="232"/>
      <c r="G113" s="232"/>
      <c r="H113" s="232"/>
      <c r="I113" s="232"/>
      <c r="J113" s="429"/>
      <c r="K113" s="429"/>
      <c r="L113" s="429"/>
      <c r="M113" s="429"/>
      <c r="N113" s="429"/>
      <c r="O113" s="429"/>
      <c r="P113" s="429"/>
    </row>
    <row r="114" spans="2:16" ht="12.75">
      <c r="B114" s="232"/>
      <c r="C114" s="232"/>
      <c r="D114" s="232"/>
      <c r="E114" s="232"/>
      <c r="F114" s="232"/>
      <c r="G114" s="232"/>
      <c r="H114" s="232"/>
      <c r="I114" s="232"/>
      <c r="J114" s="429"/>
      <c r="K114" s="429"/>
      <c r="L114" s="429"/>
      <c r="M114" s="429"/>
      <c r="N114" s="429"/>
      <c r="O114" s="429"/>
      <c r="P114" s="429"/>
    </row>
    <row r="115" spans="2:16" ht="12.75">
      <c r="B115" s="232"/>
      <c r="C115" s="232"/>
      <c r="D115" s="232"/>
      <c r="E115" s="232"/>
      <c r="F115" s="232"/>
      <c r="G115" s="232"/>
      <c r="H115" s="232"/>
      <c r="I115" s="232"/>
      <c r="J115" s="429"/>
      <c r="K115" s="429"/>
      <c r="L115" s="429"/>
      <c r="M115" s="429"/>
      <c r="N115" s="429"/>
      <c r="O115" s="429"/>
      <c r="P115" s="429"/>
    </row>
    <row r="116" spans="2:16" ht="12.75">
      <c r="B116" s="232"/>
      <c r="C116" s="232"/>
      <c r="D116" s="232"/>
      <c r="E116" s="232"/>
      <c r="F116" s="232"/>
      <c r="G116" s="232"/>
      <c r="H116" s="232"/>
      <c r="I116" s="232"/>
      <c r="J116" s="429"/>
      <c r="K116" s="429"/>
      <c r="L116" s="429"/>
      <c r="M116" s="429"/>
      <c r="N116" s="429"/>
      <c r="O116" s="429"/>
      <c r="P116" s="429"/>
    </row>
    <row r="117" spans="2:16" ht="12.75">
      <c r="B117" s="232"/>
      <c r="C117" s="232"/>
      <c r="D117" s="232"/>
      <c r="E117" s="232"/>
      <c r="F117" s="232"/>
      <c r="G117" s="232"/>
      <c r="H117" s="232"/>
      <c r="I117" s="232"/>
      <c r="J117" s="429"/>
      <c r="K117" s="429"/>
      <c r="L117" s="429"/>
      <c r="M117" s="429"/>
      <c r="N117" s="429"/>
      <c r="O117" s="429"/>
      <c r="P117" s="429"/>
    </row>
    <row r="118" spans="2:16" ht="12.75">
      <c r="B118" s="232"/>
      <c r="C118" s="232"/>
      <c r="D118" s="232"/>
      <c r="E118" s="232"/>
      <c r="F118" s="232"/>
      <c r="G118" s="232"/>
      <c r="H118" s="232"/>
      <c r="I118" s="232"/>
      <c r="J118" s="429"/>
      <c r="K118" s="429"/>
      <c r="L118" s="429"/>
      <c r="M118" s="429"/>
      <c r="N118" s="429"/>
      <c r="O118" s="429"/>
      <c r="P118" s="429"/>
    </row>
    <row r="119" spans="2:16" ht="12.75">
      <c r="B119" s="232"/>
      <c r="C119" s="232"/>
      <c r="D119" s="232"/>
      <c r="E119" s="232"/>
      <c r="F119" s="232"/>
      <c r="G119" s="232"/>
      <c r="H119" s="232"/>
      <c r="I119" s="232"/>
      <c r="J119" s="429"/>
      <c r="K119" s="429"/>
      <c r="L119" s="429"/>
      <c r="M119" s="429"/>
      <c r="N119" s="429"/>
      <c r="O119" s="429"/>
      <c r="P119" s="429"/>
    </row>
    <row r="120" spans="2:16" ht="12.75">
      <c r="B120" s="232"/>
      <c r="C120" s="232"/>
      <c r="D120" s="232"/>
      <c r="E120" s="232"/>
      <c r="F120" s="232"/>
      <c r="G120" s="232"/>
      <c r="H120" s="232"/>
      <c r="I120" s="232"/>
      <c r="J120" s="429"/>
      <c r="K120" s="429"/>
      <c r="L120" s="429"/>
      <c r="M120" s="429"/>
      <c r="N120" s="429"/>
      <c r="O120" s="429"/>
      <c r="P120" s="429"/>
    </row>
    <row r="121" spans="2:16" ht="12.75">
      <c r="B121" s="232"/>
      <c r="C121" s="232"/>
      <c r="D121" s="232"/>
      <c r="E121" s="232"/>
      <c r="F121" s="232"/>
      <c r="G121" s="232"/>
      <c r="H121" s="232"/>
      <c r="I121" s="232"/>
      <c r="J121" s="429"/>
      <c r="K121" s="429"/>
      <c r="L121" s="429"/>
      <c r="M121" s="429"/>
      <c r="N121" s="429"/>
      <c r="O121" s="429"/>
      <c r="P121" s="429"/>
    </row>
    <row r="122" spans="2:16" ht="12.75">
      <c r="B122" s="232"/>
      <c r="C122" s="232"/>
      <c r="D122" s="232"/>
      <c r="E122" s="232"/>
      <c r="F122" s="232"/>
      <c r="G122" s="232"/>
      <c r="H122" s="232"/>
      <c r="I122" s="232"/>
      <c r="J122" s="429"/>
      <c r="K122" s="429"/>
      <c r="L122" s="429"/>
      <c r="M122" s="429"/>
      <c r="N122" s="429"/>
      <c r="O122" s="429"/>
      <c r="P122" s="429"/>
    </row>
    <row r="123" spans="2:16" ht="12.75">
      <c r="B123" s="232"/>
      <c r="C123" s="232"/>
      <c r="D123" s="232"/>
      <c r="E123" s="232"/>
      <c r="F123" s="232"/>
      <c r="G123" s="232"/>
      <c r="H123" s="232"/>
      <c r="I123" s="232"/>
      <c r="J123" s="429"/>
      <c r="K123" s="429"/>
      <c r="L123" s="429"/>
      <c r="M123" s="429"/>
      <c r="N123" s="429"/>
      <c r="O123" s="429"/>
      <c r="P123" s="429"/>
    </row>
    <row r="124" spans="2:16" ht="12.75">
      <c r="B124" s="232"/>
      <c r="C124" s="232"/>
      <c r="D124" s="232"/>
      <c r="E124" s="232"/>
      <c r="F124" s="232"/>
      <c r="G124" s="232"/>
      <c r="H124" s="232"/>
      <c r="I124" s="232"/>
      <c r="J124" s="429"/>
      <c r="K124" s="429"/>
      <c r="L124" s="429"/>
      <c r="M124" s="429"/>
      <c r="N124" s="429"/>
      <c r="O124" s="429"/>
      <c r="P124" s="429"/>
    </row>
    <row r="125" spans="2:16" ht="12.75">
      <c r="B125" s="232"/>
      <c r="C125" s="232"/>
      <c r="D125" s="232"/>
      <c r="E125" s="232"/>
      <c r="F125" s="232"/>
      <c r="G125" s="232"/>
      <c r="H125" s="232"/>
      <c r="I125" s="232"/>
      <c r="J125" s="429"/>
      <c r="K125" s="429"/>
      <c r="L125" s="429"/>
      <c r="M125" s="429"/>
      <c r="N125" s="429"/>
      <c r="O125" s="429"/>
      <c r="P125" s="429"/>
    </row>
    <row r="126" spans="2:16" ht="12.75">
      <c r="B126" s="232"/>
      <c r="C126" s="232"/>
      <c r="D126" s="232"/>
      <c r="E126" s="232"/>
      <c r="F126" s="232"/>
      <c r="G126" s="232"/>
      <c r="H126" s="232"/>
      <c r="I126" s="232"/>
      <c r="J126" s="429"/>
      <c r="K126" s="429"/>
      <c r="L126" s="429"/>
      <c r="M126" s="429"/>
      <c r="N126" s="429"/>
      <c r="O126" s="429"/>
      <c r="P126" s="429"/>
    </row>
    <row r="127" spans="2:16" ht="12.75">
      <c r="B127" s="232"/>
      <c r="C127" s="232"/>
      <c r="D127" s="232"/>
      <c r="E127" s="232"/>
      <c r="F127" s="232"/>
      <c r="G127" s="232"/>
      <c r="H127" s="232"/>
      <c r="I127" s="232"/>
      <c r="J127" s="429"/>
      <c r="K127" s="429"/>
      <c r="L127" s="429"/>
      <c r="M127" s="429"/>
      <c r="N127" s="429"/>
      <c r="O127" s="429"/>
      <c r="P127" s="429"/>
    </row>
    <row r="128" spans="2:16" ht="12.75">
      <c r="B128" s="232"/>
      <c r="C128" s="232"/>
      <c r="D128" s="232"/>
      <c r="E128" s="232"/>
      <c r="F128" s="232"/>
      <c r="G128" s="232"/>
      <c r="H128" s="232"/>
      <c r="I128" s="232"/>
      <c r="J128" s="429"/>
      <c r="K128" s="429"/>
      <c r="L128" s="429"/>
      <c r="M128" s="429"/>
      <c r="N128" s="429"/>
      <c r="O128" s="429"/>
      <c r="P128" s="429"/>
    </row>
    <row r="129" spans="2:16" ht="12.75">
      <c r="B129" s="232"/>
      <c r="C129" s="232"/>
      <c r="D129" s="232"/>
      <c r="E129" s="232"/>
      <c r="F129" s="232"/>
      <c r="G129" s="232"/>
      <c r="H129" s="232"/>
      <c r="I129" s="232"/>
      <c r="J129" s="429"/>
      <c r="K129" s="429"/>
      <c r="L129" s="429"/>
      <c r="M129" s="429"/>
      <c r="N129" s="429"/>
      <c r="O129" s="429"/>
      <c r="P129" s="429"/>
    </row>
    <row r="130" spans="2:16" ht="12.75">
      <c r="B130" s="232"/>
      <c r="C130" s="232"/>
      <c r="D130" s="232"/>
      <c r="E130" s="232"/>
      <c r="F130" s="232"/>
      <c r="G130" s="232"/>
      <c r="H130" s="232"/>
      <c r="I130" s="232"/>
      <c r="J130" s="429"/>
      <c r="K130" s="429"/>
      <c r="L130" s="429"/>
      <c r="M130" s="429"/>
      <c r="N130" s="429"/>
      <c r="O130" s="429"/>
      <c r="P130" s="429"/>
    </row>
    <row r="131" spans="2:16" ht="12.75">
      <c r="B131" s="232"/>
      <c r="C131" s="232"/>
      <c r="D131" s="232"/>
      <c r="E131" s="232"/>
      <c r="F131" s="232"/>
      <c r="G131" s="232"/>
      <c r="H131" s="232"/>
      <c r="I131" s="232"/>
      <c r="J131" s="429"/>
      <c r="K131" s="429"/>
      <c r="L131" s="429"/>
      <c r="M131" s="429"/>
      <c r="N131" s="429"/>
      <c r="O131" s="429"/>
      <c r="P131" s="429"/>
    </row>
    <row r="132" spans="2:16" ht="12.75">
      <c r="B132" s="232"/>
      <c r="C132" s="232"/>
      <c r="D132" s="232"/>
      <c r="E132" s="232"/>
      <c r="F132" s="232"/>
      <c r="G132" s="232"/>
      <c r="H132" s="232"/>
      <c r="I132" s="232"/>
      <c r="J132" s="429"/>
      <c r="K132" s="429"/>
      <c r="L132" s="429"/>
      <c r="M132" s="429"/>
      <c r="N132" s="429"/>
      <c r="O132" s="429"/>
      <c r="P132" s="429"/>
    </row>
    <row r="133" spans="2:16" ht="12.75">
      <c r="B133" s="232"/>
      <c r="C133" s="232"/>
      <c r="D133" s="232"/>
      <c r="E133" s="232"/>
      <c r="F133" s="232"/>
      <c r="G133" s="232"/>
      <c r="H133" s="232"/>
      <c r="I133" s="232"/>
      <c r="J133" s="429"/>
      <c r="K133" s="429"/>
      <c r="L133" s="429"/>
      <c r="M133" s="429"/>
      <c r="N133" s="429"/>
      <c r="O133" s="429"/>
      <c r="P133" s="429"/>
    </row>
    <row r="134" spans="2:16" ht="12.75">
      <c r="B134" s="232"/>
      <c r="C134" s="232"/>
      <c r="D134" s="232"/>
      <c r="E134" s="232"/>
      <c r="F134" s="232"/>
      <c r="G134" s="232"/>
      <c r="H134" s="232"/>
      <c r="I134" s="232"/>
      <c r="J134" s="429"/>
      <c r="K134" s="429"/>
      <c r="L134" s="429"/>
      <c r="M134" s="429"/>
      <c r="N134" s="429"/>
      <c r="O134" s="429"/>
      <c r="P134" s="429"/>
    </row>
    <row r="135" spans="2:16" ht="12.75">
      <c r="B135" s="232"/>
      <c r="C135" s="232"/>
      <c r="D135" s="232"/>
      <c r="E135" s="232"/>
      <c r="F135" s="232"/>
      <c r="G135" s="232"/>
      <c r="H135" s="232"/>
      <c r="I135" s="232"/>
      <c r="J135" s="429"/>
      <c r="K135" s="429"/>
      <c r="L135" s="429"/>
      <c r="M135" s="429"/>
      <c r="N135" s="429"/>
      <c r="O135" s="429"/>
      <c r="P135" s="429"/>
    </row>
    <row r="136" spans="2:16" ht="12.75">
      <c r="B136" s="232"/>
      <c r="C136" s="232"/>
      <c r="D136" s="232"/>
      <c r="E136" s="232"/>
      <c r="F136" s="232"/>
      <c r="G136" s="232"/>
      <c r="H136" s="232"/>
      <c r="I136" s="232"/>
      <c r="J136" s="429"/>
      <c r="K136" s="429"/>
      <c r="L136" s="429"/>
      <c r="M136" s="429"/>
      <c r="N136" s="429"/>
      <c r="O136" s="429"/>
      <c r="P136" s="429"/>
    </row>
    <row r="137" spans="2:16" ht="12.75">
      <c r="B137" s="232"/>
      <c r="C137" s="232"/>
      <c r="D137" s="232"/>
      <c r="E137" s="232"/>
      <c r="F137" s="232"/>
      <c r="G137" s="232"/>
      <c r="H137" s="232"/>
      <c r="I137" s="232"/>
      <c r="J137" s="429"/>
      <c r="K137" s="429"/>
      <c r="L137" s="429"/>
      <c r="M137" s="429"/>
      <c r="N137" s="429"/>
      <c r="O137" s="429"/>
      <c r="P137" s="429"/>
    </row>
    <row r="138" spans="2:16" ht="12.75">
      <c r="B138" s="232"/>
      <c r="C138" s="232"/>
      <c r="D138" s="232"/>
      <c r="E138" s="232"/>
      <c r="F138" s="232"/>
      <c r="G138" s="232"/>
      <c r="H138" s="232"/>
      <c r="I138" s="232"/>
      <c r="J138" s="429"/>
      <c r="K138" s="429"/>
      <c r="L138" s="429"/>
      <c r="M138" s="429"/>
      <c r="N138" s="429"/>
      <c r="O138" s="429"/>
      <c r="P138" s="429"/>
    </row>
    <row r="139" spans="2:16" ht="12.75">
      <c r="B139" s="232"/>
      <c r="C139" s="232"/>
      <c r="D139" s="232"/>
      <c r="E139" s="232"/>
      <c r="F139" s="232"/>
      <c r="G139" s="232"/>
      <c r="H139" s="232"/>
      <c r="I139" s="232"/>
      <c r="J139" s="429"/>
      <c r="K139" s="429"/>
      <c r="L139" s="429"/>
      <c r="M139" s="429"/>
      <c r="N139" s="429"/>
      <c r="O139" s="429"/>
      <c r="P139" s="429"/>
    </row>
    <row r="140" spans="2:16" ht="12.75">
      <c r="B140" s="232"/>
      <c r="C140" s="232"/>
      <c r="D140" s="232"/>
      <c r="E140" s="232"/>
      <c r="F140" s="232"/>
      <c r="G140" s="232"/>
      <c r="H140" s="232"/>
      <c r="I140" s="232"/>
      <c r="J140" s="429"/>
      <c r="K140" s="429"/>
      <c r="L140" s="429"/>
      <c r="M140" s="429"/>
      <c r="N140" s="429"/>
      <c r="O140" s="429"/>
      <c r="P140" s="429"/>
    </row>
    <row r="141" spans="2:16" ht="12.75">
      <c r="B141" s="232"/>
      <c r="C141" s="232"/>
      <c r="D141" s="232"/>
      <c r="E141" s="232"/>
      <c r="F141" s="232"/>
      <c r="G141" s="232"/>
      <c r="H141" s="232"/>
      <c r="I141" s="232"/>
      <c r="J141" s="429"/>
      <c r="K141" s="429"/>
      <c r="L141" s="429"/>
      <c r="M141" s="429"/>
      <c r="N141" s="429"/>
      <c r="O141" s="429"/>
      <c r="P141" s="429"/>
    </row>
    <row r="142" spans="2:16" ht="12.75">
      <c r="B142" s="232"/>
      <c r="C142" s="232"/>
      <c r="D142" s="232"/>
      <c r="E142" s="232"/>
      <c r="F142" s="232"/>
      <c r="G142" s="232"/>
      <c r="H142" s="232"/>
      <c r="I142" s="232"/>
      <c r="J142" s="429"/>
      <c r="K142" s="429"/>
      <c r="L142" s="429"/>
      <c r="M142" s="429"/>
      <c r="N142" s="429"/>
      <c r="O142" s="429"/>
      <c r="P142" s="429"/>
    </row>
    <row r="143" spans="2:16" ht="12.75">
      <c r="B143" s="232"/>
      <c r="C143" s="232"/>
      <c r="D143" s="232"/>
      <c r="E143" s="232"/>
      <c r="F143" s="232"/>
      <c r="G143" s="232"/>
      <c r="H143" s="232"/>
      <c r="I143" s="232"/>
      <c r="J143" s="429"/>
      <c r="K143" s="429"/>
      <c r="L143" s="429"/>
      <c r="M143" s="429"/>
      <c r="N143" s="429"/>
      <c r="O143" s="429"/>
      <c r="P143" s="429"/>
    </row>
    <row r="144" spans="2:16" ht="12.75">
      <c r="B144" s="232"/>
      <c r="C144" s="232"/>
      <c r="D144" s="232"/>
      <c r="E144" s="232"/>
      <c r="F144" s="232"/>
      <c r="G144" s="232"/>
      <c r="H144" s="232"/>
      <c r="I144" s="232"/>
      <c r="J144" s="429"/>
      <c r="K144" s="429"/>
      <c r="L144" s="429"/>
      <c r="M144" s="429"/>
      <c r="N144" s="429"/>
      <c r="O144" s="429"/>
      <c r="P144" s="429"/>
    </row>
    <row r="145" spans="2:16" ht="12.75">
      <c r="B145" s="232"/>
      <c r="C145" s="232"/>
      <c r="D145" s="232"/>
      <c r="E145" s="232"/>
      <c r="F145" s="232"/>
      <c r="G145" s="232"/>
      <c r="H145" s="232"/>
      <c r="I145" s="232"/>
      <c r="J145" s="429"/>
      <c r="K145" s="429"/>
      <c r="L145" s="429"/>
      <c r="M145" s="429"/>
      <c r="N145" s="429"/>
      <c r="O145" s="429"/>
      <c r="P145" s="429"/>
    </row>
    <row r="146" spans="2:16" ht="12.75">
      <c r="B146" s="232"/>
      <c r="C146" s="232"/>
      <c r="D146" s="232"/>
      <c r="E146" s="232"/>
      <c r="F146" s="232"/>
      <c r="G146" s="232"/>
      <c r="H146" s="232"/>
      <c r="I146" s="232"/>
      <c r="J146" s="429"/>
      <c r="K146" s="429"/>
      <c r="L146" s="429"/>
      <c r="M146" s="429"/>
      <c r="N146" s="429"/>
      <c r="O146" s="429"/>
      <c r="P146" s="429"/>
    </row>
    <row r="147" spans="2:16" ht="12.75">
      <c r="B147" s="232"/>
      <c r="C147" s="232"/>
      <c r="D147" s="232"/>
      <c r="E147" s="232"/>
      <c r="F147" s="232"/>
      <c r="G147" s="232"/>
      <c r="H147" s="232"/>
      <c r="I147" s="232"/>
      <c r="J147" s="429"/>
      <c r="K147" s="429"/>
      <c r="L147" s="429"/>
      <c r="M147" s="429"/>
      <c r="N147" s="429"/>
      <c r="O147" s="429"/>
      <c r="P147" s="429"/>
    </row>
    <row r="148" spans="2:16" ht="12.75">
      <c r="B148" s="232"/>
      <c r="C148" s="232"/>
      <c r="D148" s="232"/>
      <c r="E148" s="232"/>
      <c r="F148" s="232"/>
      <c r="G148" s="232"/>
      <c r="H148" s="232"/>
      <c r="I148" s="232"/>
      <c r="J148" s="429"/>
      <c r="K148" s="429"/>
      <c r="L148" s="429"/>
      <c r="M148" s="429"/>
      <c r="N148" s="429"/>
      <c r="O148" s="429"/>
      <c r="P148" s="429"/>
    </row>
    <row r="149" spans="2:16" ht="12.75">
      <c r="B149" s="232"/>
      <c r="C149" s="232"/>
      <c r="D149" s="232"/>
      <c r="E149" s="232"/>
      <c r="F149" s="232"/>
      <c r="G149" s="232"/>
      <c r="H149" s="232"/>
      <c r="I149" s="232"/>
      <c r="J149" s="429"/>
      <c r="K149" s="429"/>
      <c r="L149" s="429"/>
      <c r="M149" s="429"/>
      <c r="N149" s="429"/>
      <c r="O149" s="429"/>
      <c r="P149" s="429"/>
    </row>
    <row r="150" spans="2:16" ht="12.75">
      <c r="B150" s="232"/>
      <c r="C150" s="232"/>
      <c r="D150" s="232"/>
      <c r="E150" s="232"/>
      <c r="F150" s="232"/>
      <c r="G150" s="232"/>
      <c r="H150" s="232"/>
      <c r="I150" s="232"/>
      <c r="J150" s="429"/>
      <c r="K150" s="429"/>
      <c r="L150" s="429"/>
      <c r="M150" s="429"/>
      <c r="N150" s="429"/>
      <c r="O150" s="429"/>
      <c r="P150" s="429"/>
    </row>
    <row r="151" spans="2:16" ht="12.75">
      <c r="B151" s="232"/>
      <c r="C151" s="232"/>
      <c r="D151" s="232"/>
      <c r="E151" s="232"/>
      <c r="F151" s="232"/>
      <c r="G151" s="232"/>
      <c r="H151" s="232"/>
      <c r="I151" s="232"/>
      <c r="J151" s="429"/>
      <c r="K151" s="429"/>
      <c r="L151" s="429"/>
      <c r="M151" s="429"/>
      <c r="N151" s="429"/>
      <c r="O151" s="429"/>
      <c r="P151" s="429"/>
    </row>
    <row r="152" spans="2:16" ht="12.75">
      <c r="B152" s="232"/>
      <c r="C152" s="232"/>
      <c r="D152" s="232"/>
      <c r="E152" s="232"/>
      <c r="F152" s="232"/>
      <c r="G152" s="232"/>
      <c r="H152" s="232"/>
      <c r="I152" s="232"/>
      <c r="J152" s="429"/>
      <c r="K152" s="429"/>
      <c r="L152" s="429"/>
      <c r="M152" s="429"/>
      <c r="N152" s="429"/>
      <c r="O152" s="429"/>
      <c r="P152" s="429"/>
    </row>
    <row r="153" spans="2:16" ht="12.75">
      <c r="B153" s="232"/>
      <c r="C153" s="232"/>
      <c r="D153" s="232"/>
      <c r="E153" s="232"/>
      <c r="F153" s="232"/>
      <c r="G153" s="232"/>
      <c r="H153" s="232"/>
      <c r="I153" s="232"/>
      <c r="J153" s="429"/>
      <c r="K153" s="429"/>
      <c r="L153" s="429"/>
      <c r="M153" s="429"/>
      <c r="N153" s="429"/>
      <c r="O153" s="429"/>
      <c r="P153" s="429"/>
    </row>
    <row r="154" spans="2:16" ht="12.75">
      <c r="B154" s="232"/>
      <c r="C154" s="232"/>
      <c r="D154" s="232"/>
      <c r="E154" s="232"/>
      <c r="F154" s="232"/>
      <c r="G154" s="232"/>
      <c r="H154" s="232"/>
      <c r="I154" s="232"/>
      <c r="J154" s="429"/>
      <c r="K154" s="429"/>
      <c r="L154" s="429"/>
      <c r="M154" s="429"/>
      <c r="N154" s="429"/>
      <c r="O154" s="429"/>
      <c r="P154" s="429"/>
    </row>
    <row r="155" spans="2:16" ht="12.75">
      <c r="B155" s="232"/>
      <c r="C155" s="232"/>
      <c r="D155" s="232"/>
      <c r="E155" s="232"/>
      <c r="F155" s="232"/>
      <c r="G155" s="232"/>
      <c r="H155" s="232"/>
      <c r="I155" s="232"/>
      <c r="J155" s="429"/>
      <c r="K155" s="429"/>
      <c r="L155" s="429"/>
      <c r="M155" s="429"/>
      <c r="N155" s="429"/>
      <c r="O155" s="429"/>
      <c r="P155" s="429"/>
    </row>
    <row r="156" spans="2:16" ht="12.75">
      <c r="B156" s="232"/>
      <c r="C156" s="232"/>
      <c r="D156" s="232"/>
      <c r="E156" s="232"/>
      <c r="F156" s="232"/>
      <c r="G156" s="232"/>
      <c r="H156" s="232"/>
      <c r="I156" s="232"/>
      <c r="J156" s="429"/>
      <c r="K156" s="429"/>
      <c r="L156" s="429"/>
      <c r="M156" s="429"/>
      <c r="N156" s="429"/>
      <c r="O156" s="429"/>
      <c r="P156" s="429"/>
    </row>
    <row r="157" spans="2:16" ht="12.75">
      <c r="B157" s="232"/>
      <c r="C157" s="232"/>
      <c r="D157" s="232"/>
      <c r="E157" s="232"/>
      <c r="F157" s="232"/>
      <c r="G157" s="232"/>
      <c r="H157" s="232"/>
      <c r="I157" s="232"/>
      <c r="J157" s="429"/>
      <c r="K157" s="429"/>
      <c r="L157" s="429"/>
      <c r="M157" s="429"/>
      <c r="N157" s="429"/>
      <c r="O157" s="429"/>
      <c r="P157" s="429"/>
    </row>
    <row r="158" spans="2:16" ht="12.75">
      <c r="B158" s="232"/>
      <c r="C158" s="232"/>
      <c r="D158" s="232"/>
      <c r="E158" s="232"/>
      <c r="F158" s="232"/>
      <c r="G158" s="232"/>
      <c r="H158" s="232"/>
      <c r="I158" s="232"/>
      <c r="J158" s="429"/>
      <c r="K158" s="429"/>
      <c r="L158" s="429"/>
      <c r="M158" s="429"/>
      <c r="N158" s="429"/>
      <c r="O158" s="429"/>
      <c r="P158" s="429"/>
    </row>
    <row r="159" spans="2:16" ht="12.75">
      <c r="B159" s="232"/>
      <c r="C159" s="232"/>
      <c r="D159" s="232"/>
      <c r="E159" s="232"/>
      <c r="F159" s="232"/>
      <c r="G159" s="232"/>
      <c r="H159" s="232"/>
      <c r="I159" s="232"/>
      <c r="J159" s="429"/>
      <c r="K159" s="429"/>
      <c r="L159" s="429"/>
      <c r="M159" s="429"/>
      <c r="N159" s="429"/>
      <c r="O159" s="429"/>
      <c r="P159" s="429"/>
    </row>
    <row r="160" spans="2:16" ht="12.75">
      <c r="B160" s="232"/>
      <c r="C160" s="232"/>
      <c r="D160" s="232"/>
      <c r="E160" s="232"/>
      <c r="F160" s="232"/>
      <c r="G160" s="232"/>
      <c r="H160" s="232"/>
      <c r="I160" s="232"/>
      <c r="J160" s="429"/>
      <c r="K160" s="429"/>
      <c r="L160" s="429"/>
      <c r="M160" s="429"/>
      <c r="N160" s="429"/>
      <c r="O160" s="429"/>
      <c r="P160" s="429"/>
    </row>
    <row r="161" spans="2:16" ht="12.75">
      <c r="B161" s="232"/>
      <c r="C161" s="232"/>
      <c r="D161" s="232"/>
      <c r="E161" s="232"/>
      <c r="F161" s="232"/>
      <c r="G161" s="232"/>
      <c r="H161" s="232"/>
      <c r="I161" s="232"/>
      <c r="J161" s="429"/>
      <c r="K161" s="429"/>
      <c r="L161" s="429"/>
      <c r="M161" s="429"/>
      <c r="N161" s="429"/>
      <c r="O161" s="429"/>
      <c r="P161" s="429"/>
    </row>
    <row r="162" spans="2:16" ht="12.75">
      <c r="B162" s="232"/>
      <c r="C162" s="232"/>
      <c r="D162" s="232"/>
      <c r="E162" s="232"/>
      <c r="F162" s="232"/>
      <c r="G162" s="232"/>
      <c r="H162" s="232"/>
      <c r="I162" s="232"/>
      <c r="J162" s="429"/>
      <c r="K162" s="429"/>
      <c r="L162" s="429"/>
      <c r="M162" s="429"/>
      <c r="N162" s="429"/>
      <c r="O162" s="429"/>
      <c r="P162" s="429"/>
    </row>
    <row r="163" spans="2:16" ht="12.75">
      <c r="B163" s="232"/>
      <c r="C163" s="232"/>
      <c r="D163" s="232"/>
      <c r="E163" s="232"/>
      <c r="F163" s="232"/>
      <c r="G163" s="232"/>
      <c r="H163" s="232"/>
      <c r="I163" s="232"/>
      <c r="J163" s="429"/>
      <c r="K163" s="429"/>
      <c r="L163" s="429"/>
      <c r="M163" s="429"/>
      <c r="N163" s="429"/>
      <c r="O163" s="429"/>
      <c r="P163" s="429"/>
    </row>
    <row r="164" spans="2:16" ht="12.75">
      <c r="B164" s="232"/>
      <c r="C164" s="232"/>
      <c r="D164" s="232"/>
      <c r="E164" s="232"/>
      <c r="F164" s="232"/>
      <c r="G164" s="232"/>
      <c r="H164" s="232"/>
      <c r="I164" s="232"/>
      <c r="J164" s="429"/>
      <c r="K164" s="429"/>
      <c r="L164" s="429"/>
      <c r="M164" s="429"/>
      <c r="N164" s="429"/>
      <c r="O164" s="429"/>
      <c r="P164" s="429"/>
    </row>
    <row r="165" spans="2:16" ht="12.75">
      <c r="B165" s="232"/>
      <c r="C165" s="232"/>
      <c r="D165" s="232"/>
      <c r="E165" s="232"/>
      <c r="F165" s="232"/>
      <c r="G165" s="232"/>
      <c r="H165" s="232"/>
      <c r="I165" s="232"/>
      <c r="J165" s="429"/>
      <c r="K165" s="429"/>
      <c r="L165" s="429"/>
      <c r="M165" s="429"/>
      <c r="N165" s="429"/>
      <c r="O165" s="429"/>
      <c r="P165" s="429"/>
    </row>
    <row r="166" spans="2:16" ht="12.75">
      <c r="B166" s="232"/>
      <c r="C166" s="232"/>
      <c r="D166" s="232"/>
      <c r="E166" s="232"/>
      <c r="F166" s="232"/>
      <c r="G166" s="232"/>
      <c r="H166" s="232"/>
      <c r="I166" s="232"/>
      <c r="J166" s="429"/>
      <c r="K166" s="429"/>
      <c r="L166" s="429"/>
      <c r="M166" s="429"/>
      <c r="N166" s="429"/>
      <c r="O166" s="429"/>
      <c r="P166" s="429"/>
    </row>
    <row r="167" spans="2:16" ht="12.75">
      <c r="B167" s="232"/>
      <c r="C167" s="232"/>
      <c r="D167" s="232"/>
      <c r="E167" s="232"/>
      <c r="F167" s="232"/>
      <c r="G167" s="232"/>
      <c r="H167" s="232"/>
      <c r="I167" s="232"/>
      <c r="J167" s="429"/>
      <c r="K167" s="429"/>
      <c r="L167" s="429"/>
      <c r="M167" s="429"/>
      <c r="N167" s="429"/>
      <c r="O167" s="429"/>
      <c r="P167" s="429"/>
    </row>
    <row r="168" spans="2:16" ht="12.75">
      <c r="B168" s="232"/>
      <c r="C168" s="232"/>
      <c r="D168" s="232"/>
      <c r="E168" s="232"/>
      <c r="F168" s="232"/>
      <c r="G168" s="232"/>
      <c r="H168" s="232"/>
      <c r="I168" s="232"/>
      <c r="J168" s="429"/>
      <c r="K168" s="429"/>
      <c r="L168" s="429"/>
      <c r="M168" s="429"/>
      <c r="N168" s="429"/>
      <c r="O168" s="429"/>
      <c r="P168" s="429"/>
    </row>
    <row r="169" spans="2:16" ht="12.75">
      <c r="B169" s="232"/>
      <c r="C169" s="232"/>
      <c r="D169" s="232"/>
      <c r="E169" s="232"/>
      <c r="F169" s="232"/>
      <c r="G169" s="232"/>
      <c r="H169" s="232"/>
      <c r="I169" s="232"/>
      <c r="J169" s="429"/>
      <c r="K169" s="429"/>
      <c r="L169" s="429"/>
      <c r="M169" s="429"/>
      <c r="N169" s="429"/>
      <c r="O169" s="429"/>
      <c r="P169" s="429"/>
    </row>
    <row r="170" spans="2:16" ht="12.75">
      <c r="B170" s="232"/>
      <c r="C170" s="232"/>
      <c r="D170" s="232"/>
      <c r="E170" s="232"/>
      <c r="F170" s="232"/>
      <c r="G170" s="232"/>
      <c r="H170" s="232"/>
      <c r="I170" s="232"/>
      <c r="J170" s="429"/>
      <c r="K170" s="429"/>
      <c r="L170" s="429"/>
      <c r="M170" s="429"/>
      <c r="N170" s="429"/>
      <c r="O170" s="429"/>
      <c r="P170" s="429"/>
    </row>
    <row r="171" spans="2:16" ht="12.75">
      <c r="B171" s="232"/>
      <c r="C171" s="232"/>
      <c r="D171" s="232"/>
      <c r="E171" s="232"/>
      <c r="F171" s="232"/>
      <c r="G171" s="232"/>
      <c r="H171" s="232"/>
      <c r="I171" s="232"/>
      <c r="J171" s="429"/>
      <c r="K171" s="429"/>
      <c r="L171" s="429"/>
      <c r="M171" s="429"/>
      <c r="N171" s="429"/>
      <c r="O171" s="429"/>
      <c r="P171" s="429"/>
    </row>
    <row r="172" spans="2:16" ht="12.75">
      <c r="B172" s="232"/>
      <c r="C172" s="232"/>
      <c r="D172" s="232"/>
      <c r="E172" s="232"/>
      <c r="F172" s="232"/>
      <c r="G172" s="232"/>
      <c r="H172" s="232"/>
      <c r="I172" s="232"/>
      <c r="J172" s="429"/>
      <c r="K172" s="429"/>
      <c r="L172" s="429"/>
      <c r="M172" s="429"/>
      <c r="N172" s="429"/>
      <c r="O172" s="429"/>
      <c r="P172" s="429"/>
    </row>
    <row r="173" spans="2:16" ht="12.75">
      <c r="B173" s="232"/>
      <c r="C173" s="232"/>
      <c r="D173" s="232"/>
      <c r="E173" s="232"/>
      <c r="F173" s="232"/>
      <c r="G173" s="232"/>
      <c r="H173" s="232"/>
      <c r="I173" s="232"/>
      <c r="J173" s="429"/>
      <c r="K173" s="429"/>
      <c r="L173" s="429"/>
      <c r="M173" s="429"/>
      <c r="N173" s="429"/>
      <c r="O173" s="429"/>
      <c r="P173" s="429"/>
    </row>
    <row r="174" spans="2:16" ht="12.75">
      <c r="B174" s="232"/>
      <c r="C174" s="232"/>
      <c r="D174" s="232"/>
      <c r="E174" s="232"/>
      <c r="F174" s="232"/>
      <c r="G174" s="232"/>
      <c r="H174" s="232"/>
      <c r="I174" s="232"/>
      <c r="J174" s="429"/>
      <c r="K174" s="429"/>
      <c r="L174" s="429"/>
      <c r="M174" s="429"/>
      <c r="N174" s="429"/>
      <c r="O174" s="429"/>
      <c r="P174" s="429"/>
    </row>
    <row r="175" spans="2:16" ht="12.75">
      <c r="B175" s="232"/>
      <c r="C175" s="232"/>
      <c r="D175" s="232"/>
      <c r="E175" s="232"/>
      <c r="F175" s="232"/>
      <c r="G175" s="232"/>
      <c r="H175" s="232"/>
      <c r="I175" s="232"/>
      <c r="J175" s="429"/>
      <c r="K175" s="429"/>
      <c r="L175" s="429"/>
      <c r="M175" s="429"/>
      <c r="N175" s="429"/>
      <c r="O175" s="429"/>
      <c r="P175" s="429"/>
    </row>
    <row r="176" spans="2:16" ht="12.75">
      <c r="B176" s="232"/>
      <c r="C176" s="232"/>
      <c r="D176" s="232"/>
      <c r="E176" s="232"/>
      <c r="F176" s="232"/>
      <c r="G176" s="232"/>
      <c r="H176" s="232"/>
      <c r="I176" s="232"/>
      <c r="J176" s="429"/>
      <c r="K176" s="429"/>
      <c r="L176" s="429"/>
      <c r="M176" s="429"/>
      <c r="N176" s="429"/>
      <c r="O176" s="429"/>
      <c r="P176" s="429"/>
    </row>
    <row r="177" spans="2:16" ht="12.75">
      <c r="B177" s="232"/>
      <c r="C177" s="232"/>
      <c r="D177" s="232"/>
      <c r="E177" s="232"/>
      <c r="F177" s="232"/>
      <c r="G177" s="232"/>
      <c r="H177" s="232"/>
      <c r="I177" s="232"/>
      <c r="J177" s="429"/>
      <c r="K177" s="429"/>
      <c r="L177" s="429"/>
      <c r="M177" s="429"/>
      <c r="N177" s="429"/>
      <c r="O177" s="429"/>
      <c r="P177" s="429"/>
    </row>
    <row r="178" spans="2:16" ht="12.75">
      <c r="B178" s="232"/>
      <c r="C178" s="232"/>
      <c r="D178" s="232"/>
      <c r="E178" s="232"/>
      <c r="F178" s="232"/>
      <c r="G178" s="232"/>
      <c r="H178" s="232"/>
      <c r="I178" s="232"/>
      <c r="J178" s="429"/>
      <c r="K178" s="429"/>
      <c r="L178" s="429"/>
      <c r="M178" s="429"/>
      <c r="N178" s="429"/>
      <c r="O178" s="429"/>
      <c r="P178" s="429"/>
    </row>
    <row r="179" spans="2:16" ht="12.75">
      <c r="B179" s="232"/>
      <c r="C179" s="232"/>
      <c r="D179" s="232"/>
      <c r="E179" s="232"/>
      <c r="F179" s="232"/>
      <c r="G179" s="232"/>
      <c r="H179" s="232"/>
      <c r="I179" s="232"/>
      <c r="J179" s="429"/>
      <c r="K179" s="429"/>
      <c r="L179" s="429"/>
      <c r="M179" s="429"/>
      <c r="N179" s="429"/>
      <c r="O179" s="429"/>
      <c r="P179" s="429"/>
    </row>
    <row r="180" spans="2:16" ht="12.75">
      <c r="B180" s="232"/>
      <c r="C180" s="232"/>
      <c r="D180" s="232"/>
      <c r="E180" s="232"/>
      <c r="F180" s="232"/>
      <c r="G180" s="232"/>
      <c r="H180" s="232"/>
      <c r="I180" s="232"/>
      <c r="J180" s="429"/>
      <c r="K180" s="429"/>
      <c r="L180" s="429"/>
      <c r="M180" s="429"/>
      <c r="N180" s="429"/>
      <c r="O180" s="429"/>
      <c r="P180" s="429"/>
    </row>
    <row r="181" spans="2:16" ht="12.75">
      <c r="B181" s="232"/>
      <c r="C181" s="232"/>
      <c r="D181" s="232"/>
      <c r="E181" s="232"/>
      <c r="F181" s="232"/>
      <c r="G181" s="232"/>
      <c r="H181" s="232"/>
      <c r="I181" s="232"/>
      <c r="J181" s="429"/>
      <c r="K181" s="429"/>
      <c r="L181" s="429"/>
      <c r="M181" s="429"/>
      <c r="N181" s="429"/>
      <c r="O181" s="429"/>
      <c r="P181" s="429"/>
    </row>
    <row r="182" spans="2:16" ht="12.75">
      <c r="B182" s="232"/>
      <c r="C182" s="232"/>
      <c r="D182" s="232"/>
      <c r="E182" s="232"/>
      <c r="F182" s="232"/>
      <c r="G182" s="232"/>
      <c r="H182" s="232"/>
      <c r="I182" s="232"/>
      <c r="J182" s="429"/>
      <c r="K182" s="429"/>
      <c r="L182" s="429"/>
      <c r="M182" s="429"/>
      <c r="N182" s="429"/>
      <c r="O182" s="429"/>
      <c r="P182" s="429"/>
    </row>
    <row r="183" spans="2:16" ht="12.75">
      <c r="B183" s="232"/>
      <c r="C183" s="232"/>
      <c r="D183" s="232"/>
      <c r="E183" s="232"/>
      <c r="F183" s="232"/>
      <c r="G183" s="232"/>
      <c r="H183" s="232"/>
      <c r="I183" s="232"/>
      <c r="J183" s="429"/>
      <c r="K183" s="429"/>
      <c r="L183" s="429"/>
      <c r="M183" s="429"/>
      <c r="N183" s="429"/>
      <c r="O183" s="429"/>
      <c r="P183" s="429"/>
    </row>
    <row r="184" spans="2:16" ht="12.75">
      <c r="B184" s="232"/>
      <c r="C184" s="232"/>
      <c r="D184" s="232"/>
      <c r="E184" s="232"/>
      <c r="F184" s="232"/>
      <c r="G184" s="232"/>
      <c r="H184" s="232"/>
      <c r="I184" s="232"/>
      <c r="J184" s="429"/>
      <c r="K184" s="429"/>
      <c r="L184" s="429"/>
      <c r="M184" s="429"/>
      <c r="N184" s="429"/>
      <c r="O184" s="429"/>
      <c r="P184" s="429"/>
    </row>
    <row r="185" spans="2:16" ht="12.75">
      <c r="B185" s="232"/>
      <c r="C185" s="232"/>
      <c r="D185" s="232"/>
      <c r="E185" s="232"/>
      <c r="F185" s="232"/>
      <c r="G185" s="232"/>
      <c r="H185" s="232"/>
      <c r="I185" s="232"/>
      <c r="J185" s="429"/>
      <c r="K185" s="429"/>
      <c r="L185" s="429"/>
      <c r="M185" s="429"/>
      <c r="N185" s="429"/>
      <c r="O185" s="429"/>
      <c r="P185" s="429"/>
    </row>
    <row r="186" spans="2:16" ht="12.75">
      <c r="B186" s="232"/>
      <c r="C186" s="232"/>
      <c r="D186" s="232"/>
      <c r="E186" s="232"/>
      <c r="F186" s="232"/>
      <c r="G186" s="232"/>
      <c r="H186" s="232"/>
      <c r="I186" s="232"/>
      <c r="J186" s="429"/>
      <c r="K186" s="429"/>
      <c r="L186" s="429"/>
      <c r="M186" s="429"/>
      <c r="N186" s="429"/>
      <c r="O186" s="429"/>
      <c r="P186" s="429"/>
    </row>
    <row r="187" spans="2:16" ht="12.75">
      <c r="B187" s="232"/>
      <c r="C187" s="232"/>
      <c r="D187" s="232"/>
      <c r="E187" s="232"/>
      <c r="F187" s="232"/>
      <c r="G187" s="232"/>
      <c r="H187" s="232"/>
      <c r="I187" s="232"/>
      <c r="J187" s="429"/>
      <c r="K187" s="429"/>
      <c r="L187" s="429"/>
      <c r="M187" s="429"/>
      <c r="N187" s="429"/>
      <c r="O187" s="429"/>
      <c r="P187" s="429"/>
    </row>
    <row r="188" spans="2:16" ht="12.75">
      <c r="B188" s="232"/>
      <c r="C188" s="232"/>
      <c r="D188" s="232"/>
      <c r="E188" s="232"/>
      <c r="F188" s="232"/>
      <c r="G188" s="232"/>
      <c r="H188" s="232"/>
      <c r="I188" s="232"/>
      <c r="J188" s="429"/>
      <c r="K188" s="429"/>
      <c r="L188" s="429"/>
      <c r="M188" s="429"/>
      <c r="N188" s="429"/>
      <c r="O188" s="429"/>
      <c r="P188" s="429"/>
    </row>
    <row r="189" spans="2:16" ht="12.75">
      <c r="B189" s="232"/>
      <c r="C189" s="232"/>
      <c r="D189" s="232"/>
      <c r="E189" s="232"/>
      <c r="F189" s="232"/>
      <c r="G189" s="232"/>
      <c r="H189" s="232"/>
      <c r="I189" s="232"/>
      <c r="J189" s="429"/>
      <c r="K189" s="429"/>
      <c r="L189" s="429"/>
      <c r="M189" s="429"/>
      <c r="N189" s="429"/>
      <c r="O189" s="429"/>
      <c r="P189" s="429"/>
    </row>
    <row r="190" spans="2:16" ht="12.75">
      <c r="B190" s="232"/>
      <c r="C190" s="232"/>
      <c r="D190" s="232"/>
      <c r="E190" s="232"/>
      <c r="F190" s="232"/>
      <c r="G190" s="232"/>
      <c r="H190" s="232"/>
      <c r="I190" s="232"/>
      <c r="J190" s="429"/>
      <c r="K190" s="429"/>
      <c r="L190" s="429"/>
      <c r="M190" s="429"/>
      <c r="N190" s="429"/>
      <c r="O190" s="429"/>
      <c r="P190" s="429"/>
    </row>
    <row r="191" spans="2:16" ht="12.75">
      <c r="B191" s="232"/>
      <c r="C191" s="232"/>
      <c r="D191" s="232"/>
      <c r="E191" s="232"/>
      <c r="F191" s="232"/>
      <c r="G191" s="232"/>
      <c r="H191" s="232"/>
      <c r="I191" s="232"/>
      <c r="J191" s="429"/>
      <c r="K191" s="429"/>
      <c r="L191" s="429"/>
      <c r="M191" s="429"/>
      <c r="N191" s="429"/>
      <c r="O191" s="429"/>
      <c r="P191" s="429"/>
    </row>
    <row r="192" spans="2:16" ht="12.75">
      <c r="B192" s="232"/>
      <c r="C192" s="232"/>
      <c r="D192" s="232"/>
      <c r="E192" s="232"/>
      <c r="F192" s="232"/>
      <c r="G192" s="232"/>
      <c r="H192" s="232"/>
      <c r="I192" s="232"/>
      <c r="J192" s="429"/>
      <c r="K192" s="429"/>
      <c r="L192" s="429"/>
      <c r="M192" s="429"/>
      <c r="N192" s="429"/>
      <c r="O192" s="429"/>
      <c r="P192" s="429"/>
    </row>
    <row r="193" spans="2:16" ht="12.75">
      <c r="B193" s="232"/>
      <c r="C193" s="232"/>
      <c r="D193" s="232"/>
      <c r="E193" s="232"/>
      <c r="F193" s="232"/>
      <c r="G193" s="232"/>
      <c r="H193" s="232"/>
      <c r="I193" s="232"/>
      <c r="J193" s="429"/>
      <c r="K193" s="429"/>
      <c r="L193" s="429"/>
      <c r="M193" s="429"/>
      <c r="N193" s="429"/>
      <c r="O193" s="429"/>
      <c r="P193" s="429"/>
    </row>
    <row r="194" spans="2:16" ht="12.75">
      <c r="B194" s="232"/>
      <c r="C194" s="232"/>
      <c r="D194" s="232"/>
      <c r="E194" s="232"/>
      <c r="F194" s="232"/>
      <c r="G194" s="232"/>
      <c r="H194" s="232"/>
      <c r="I194" s="232"/>
      <c r="J194" s="429"/>
      <c r="K194" s="429"/>
      <c r="L194" s="429"/>
      <c r="M194" s="429"/>
      <c r="N194" s="429"/>
      <c r="O194" s="429"/>
      <c r="P194" s="429"/>
    </row>
    <row r="195" spans="2:16" ht="12.75">
      <c r="B195" s="232"/>
      <c r="C195" s="232"/>
      <c r="D195" s="232"/>
      <c r="E195" s="232"/>
      <c r="F195" s="232"/>
      <c r="G195" s="232"/>
      <c r="H195" s="232"/>
      <c r="I195" s="232"/>
      <c r="J195" s="429"/>
      <c r="K195" s="429"/>
      <c r="L195" s="429"/>
      <c r="M195" s="429"/>
      <c r="N195" s="429"/>
      <c r="O195" s="429"/>
      <c r="P195" s="429"/>
    </row>
    <row r="196" spans="2:16" ht="12.75">
      <c r="B196" s="232"/>
      <c r="C196" s="232"/>
      <c r="D196" s="232"/>
      <c r="E196" s="232"/>
      <c r="F196" s="232"/>
      <c r="G196" s="232"/>
      <c r="H196" s="232"/>
      <c r="I196" s="232"/>
      <c r="J196" s="429"/>
      <c r="K196" s="429"/>
      <c r="L196" s="429"/>
      <c r="M196" s="429"/>
      <c r="N196" s="429"/>
      <c r="O196" s="429"/>
      <c r="P196" s="429"/>
    </row>
    <row r="197" spans="2:16" ht="12.75">
      <c r="B197" s="232"/>
      <c r="C197" s="232"/>
      <c r="D197" s="232"/>
      <c r="E197" s="232"/>
      <c r="F197" s="232"/>
      <c r="G197" s="232"/>
      <c r="H197" s="232"/>
      <c r="I197" s="232"/>
      <c r="J197" s="429"/>
      <c r="K197" s="429"/>
      <c r="L197" s="429"/>
      <c r="M197" s="429"/>
      <c r="N197" s="429"/>
      <c r="O197" s="429"/>
      <c r="P197" s="429"/>
    </row>
    <row r="198" spans="2:16" ht="12.75">
      <c r="B198" s="232"/>
      <c r="C198" s="232"/>
      <c r="D198" s="232"/>
      <c r="E198" s="232"/>
      <c r="F198" s="232"/>
      <c r="G198" s="232"/>
      <c r="H198" s="232"/>
      <c r="I198" s="232"/>
      <c r="J198" s="429"/>
      <c r="K198" s="429"/>
      <c r="L198" s="429"/>
      <c r="M198" s="429"/>
      <c r="N198" s="429"/>
      <c r="O198" s="429"/>
      <c r="P198" s="429"/>
    </row>
    <row r="199" spans="2:16" ht="12.75">
      <c r="B199" s="232"/>
      <c r="C199" s="232"/>
      <c r="D199" s="232"/>
      <c r="E199" s="232"/>
      <c r="F199" s="232"/>
      <c r="G199" s="232"/>
      <c r="H199" s="232"/>
      <c r="I199" s="232"/>
      <c r="J199" s="429"/>
      <c r="K199" s="429"/>
      <c r="L199" s="429"/>
      <c r="M199" s="429"/>
      <c r="N199" s="429"/>
      <c r="O199" s="429"/>
      <c r="P199" s="429"/>
    </row>
    <row r="200" spans="2:16" ht="12.75">
      <c r="B200" s="232"/>
      <c r="C200" s="232"/>
      <c r="D200" s="232"/>
      <c r="E200" s="232"/>
      <c r="F200" s="232"/>
      <c r="G200" s="232"/>
      <c r="H200" s="232"/>
      <c r="I200" s="232"/>
      <c r="J200" s="429"/>
      <c r="K200" s="429"/>
      <c r="L200" s="429"/>
      <c r="M200" s="429"/>
      <c r="N200" s="429"/>
      <c r="O200" s="429"/>
      <c r="P200" s="429"/>
    </row>
    <row r="201" spans="2:16" ht="12.75">
      <c r="B201" s="232"/>
      <c r="C201" s="232"/>
      <c r="D201" s="232"/>
      <c r="E201" s="232"/>
      <c r="F201" s="232"/>
      <c r="G201" s="232"/>
      <c r="H201" s="232"/>
      <c r="I201" s="232"/>
      <c r="J201" s="429"/>
      <c r="K201" s="429"/>
      <c r="L201" s="429"/>
      <c r="M201" s="429"/>
      <c r="N201" s="429"/>
      <c r="O201" s="429"/>
      <c r="P201" s="429"/>
    </row>
    <row r="202" spans="2:16" ht="12.75">
      <c r="B202" s="232"/>
      <c r="C202" s="232"/>
      <c r="D202" s="232"/>
      <c r="E202" s="232"/>
      <c r="F202" s="232"/>
      <c r="G202" s="232"/>
      <c r="H202" s="232"/>
      <c r="I202" s="232"/>
      <c r="J202" s="429"/>
      <c r="K202" s="429"/>
      <c r="L202" s="429"/>
      <c r="M202" s="429"/>
      <c r="N202" s="429"/>
      <c r="O202" s="429"/>
      <c r="P202" s="429"/>
    </row>
    <row r="203" spans="2:16" ht="12.75">
      <c r="B203" s="232"/>
      <c r="C203" s="232"/>
      <c r="D203" s="232"/>
      <c r="E203" s="232"/>
      <c r="F203" s="232"/>
      <c r="G203" s="232"/>
      <c r="H203" s="232"/>
      <c r="I203" s="232"/>
      <c r="J203" s="429"/>
      <c r="K203" s="429"/>
      <c r="L203" s="429"/>
      <c r="M203" s="429"/>
      <c r="N203" s="429"/>
      <c r="O203" s="429"/>
      <c r="P203" s="429"/>
    </row>
    <row r="204" spans="2:16" ht="12.75">
      <c r="B204" s="232"/>
      <c r="C204" s="232"/>
      <c r="D204" s="232"/>
      <c r="E204" s="232"/>
      <c r="F204" s="232"/>
      <c r="G204" s="232"/>
      <c r="H204" s="232"/>
      <c r="I204" s="232"/>
      <c r="J204" s="429"/>
      <c r="K204" s="429"/>
      <c r="L204" s="429"/>
      <c r="M204" s="429"/>
      <c r="N204" s="429"/>
      <c r="O204" s="429"/>
      <c r="P204" s="429"/>
    </row>
    <row r="205" spans="2:16" ht="12.75">
      <c r="B205" s="232"/>
      <c r="C205" s="232"/>
      <c r="D205" s="232"/>
      <c r="E205" s="232"/>
      <c r="F205" s="232"/>
      <c r="G205" s="232"/>
      <c r="H205" s="232"/>
      <c r="I205" s="232"/>
      <c r="J205" s="429"/>
      <c r="K205" s="429"/>
      <c r="L205" s="429"/>
      <c r="M205" s="429"/>
      <c r="N205" s="429"/>
      <c r="O205" s="429"/>
      <c r="P205" s="429"/>
    </row>
    <row r="206" spans="2:16" ht="12.75">
      <c r="B206" s="232"/>
      <c r="C206" s="232"/>
      <c r="D206" s="232"/>
      <c r="E206" s="232"/>
      <c r="F206" s="232"/>
      <c r="G206" s="232"/>
      <c r="H206" s="232"/>
      <c r="I206" s="232"/>
      <c r="J206" s="429"/>
      <c r="K206" s="429"/>
      <c r="L206" s="429"/>
      <c r="M206" s="429"/>
      <c r="N206" s="429"/>
      <c r="O206" s="429"/>
      <c r="P206" s="429"/>
    </row>
    <row r="207" spans="2:16" ht="12.75">
      <c r="B207" s="232"/>
      <c r="C207" s="232"/>
      <c r="D207" s="232"/>
      <c r="E207" s="232"/>
      <c r="F207" s="232"/>
      <c r="G207" s="232"/>
      <c r="H207" s="232"/>
      <c r="I207" s="232"/>
      <c r="J207" s="429"/>
      <c r="K207" s="429"/>
      <c r="L207" s="429"/>
      <c r="M207" s="429"/>
      <c r="N207" s="429"/>
      <c r="O207" s="429"/>
      <c r="P207" s="429"/>
    </row>
    <row r="208" spans="2:16" ht="12.75">
      <c r="B208" s="232"/>
      <c r="C208" s="232"/>
      <c r="D208" s="232"/>
      <c r="E208" s="232"/>
      <c r="F208" s="232"/>
      <c r="G208" s="232"/>
      <c r="H208" s="232"/>
      <c r="I208" s="232"/>
      <c r="J208" s="429"/>
      <c r="K208" s="429"/>
      <c r="L208" s="429"/>
      <c r="M208" s="429"/>
      <c r="N208" s="429"/>
      <c r="O208" s="429"/>
      <c r="P208" s="429"/>
    </row>
    <row r="209" spans="2:16" ht="12.75">
      <c r="B209" s="232"/>
      <c r="C209" s="232"/>
      <c r="D209" s="232"/>
      <c r="E209" s="232"/>
      <c r="F209" s="232"/>
      <c r="G209" s="232"/>
      <c r="H209" s="232"/>
      <c r="I209" s="232"/>
      <c r="J209" s="429"/>
      <c r="K209" s="429"/>
      <c r="L209" s="429"/>
      <c r="M209" s="429"/>
      <c r="N209" s="429"/>
      <c r="O209" s="429"/>
      <c r="P209" s="429"/>
    </row>
    <row r="210" spans="2:16" ht="12.75">
      <c r="B210" s="232"/>
      <c r="C210" s="232"/>
      <c r="D210" s="232"/>
      <c r="E210" s="232"/>
      <c r="F210" s="232"/>
      <c r="G210" s="232"/>
      <c r="H210" s="232"/>
      <c r="I210" s="232"/>
      <c r="J210" s="429"/>
      <c r="K210" s="429"/>
      <c r="L210" s="429"/>
      <c r="M210" s="429"/>
      <c r="N210" s="429"/>
      <c r="O210" s="429"/>
      <c r="P210" s="429"/>
    </row>
    <row r="211" spans="2:16" ht="12.75">
      <c r="B211" s="232"/>
      <c r="C211" s="232"/>
      <c r="D211" s="232"/>
      <c r="E211" s="232"/>
      <c r="F211" s="232"/>
      <c r="G211" s="232"/>
      <c r="H211" s="232"/>
      <c r="I211" s="232"/>
      <c r="J211" s="429"/>
      <c r="K211" s="429"/>
      <c r="L211" s="429"/>
      <c r="M211" s="429"/>
      <c r="N211" s="429"/>
      <c r="O211" s="429"/>
      <c r="P211" s="429"/>
    </row>
    <row r="212" spans="2:16" ht="12.75">
      <c r="B212" s="232"/>
      <c r="C212" s="232"/>
      <c r="D212" s="232"/>
      <c r="E212" s="232"/>
      <c r="F212" s="232"/>
      <c r="G212" s="232"/>
      <c r="H212" s="232"/>
      <c r="I212" s="232"/>
      <c r="J212" s="429"/>
      <c r="K212" s="429"/>
      <c r="L212" s="429"/>
      <c r="M212" s="429"/>
      <c r="N212" s="429"/>
      <c r="O212" s="429"/>
      <c r="P212" s="429"/>
    </row>
    <row r="213" spans="2:16" ht="12.75">
      <c r="B213" s="232"/>
      <c r="C213" s="232"/>
      <c r="D213" s="232"/>
      <c r="E213" s="232"/>
      <c r="F213" s="232"/>
      <c r="G213" s="232"/>
      <c r="H213" s="232"/>
      <c r="I213" s="232"/>
      <c r="J213" s="429"/>
      <c r="K213" s="429"/>
      <c r="L213" s="429"/>
      <c r="M213" s="429"/>
      <c r="N213" s="429"/>
      <c r="O213" s="429"/>
      <c r="P213" s="429"/>
    </row>
    <row r="214" spans="2:16" ht="12.75">
      <c r="B214" s="232"/>
      <c r="C214" s="232"/>
      <c r="D214" s="232"/>
      <c r="E214" s="232"/>
      <c r="F214" s="232"/>
      <c r="G214" s="232"/>
      <c r="H214" s="232"/>
      <c r="I214" s="232"/>
      <c r="J214" s="429"/>
      <c r="K214" s="429"/>
      <c r="L214" s="429"/>
      <c r="M214" s="429"/>
      <c r="N214" s="429"/>
      <c r="O214" s="429"/>
      <c r="P214" s="429"/>
    </row>
    <row r="215" spans="2:16" ht="12.75">
      <c r="B215" s="232"/>
      <c r="C215" s="232"/>
      <c r="D215" s="232"/>
      <c r="E215" s="232"/>
      <c r="F215" s="232"/>
      <c r="G215" s="232"/>
      <c r="H215" s="232"/>
      <c r="I215" s="232"/>
      <c r="J215" s="429"/>
      <c r="K215" s="429"/>
      <c r="L215" s="429"/>
      <c r="M215" s="429"/>
      <c r="N215" s="429"/>
      <c r="O215" s="429"/>
      <c r="P215" s="429"/>
    </row>
    <row r="216" spans="2:16" ht="12.75">
      <c r="B216" s="232"/>
      <c r="C216" s="232"/>
      <c r="D216" s="232"/>
      <c r="E216" s="232"/>
      <c r="F216" s="232"/>
      <c r="G216" s="232"/>
      <c r="H216" s="232"/>
      <c r="I216" s="232"/>
      <c r="J216" s="429"/>
      <c r="K216" s="429"/>
      <c r="L216" s="429"/>
      <c r="M216" s="429"/>
      <c r="N216" s="429"/>
      <c r="O216" s="429"/>
      <c r="P216" s="429"/>
    </row>
    <row r="217" spans="2:16" ht="12.75">
      <c r="B217" s="232"/>
      <c r="C217" s="232"/>
      <c r="D217" s="232"/>
      <c r="E217" s="232"/>
      <c r="F217" s="232"/>
      <c r="G217" s="232"/>
      <c r="H217" s="232"/>
      <c r="I217" s="232"/>
      <c r="J217" s="429"/>
      <c r="K217" s="429"/>
      <c r="L217" s="429"/>
      <c r="M217" s="429"/>
      <c r="N217" s="429"/>
      <c r="O217" s="429"/>
      <c r="P217" s="429"/>
    </row>
    <row r="218" spans="2:16" ht="12.75">
      <c r="B218" s="232"/>
      <c r="C218" s="232"/>
      <c r="D218" s="232"/>
      <c r="E218" s="232"/>
      <c r="F218" s="232"/>
      <c r="G218" s="232"/>
      <c r="H218" s="232"/>
      <c r="I218" s="232"/>
      <c r="J218" s="429"/>
      <c r="K218" s="429"/>
      <c r="L218" s="429"/>
      <c r="M218" s="429"/>
      <c r="N218" s="429"/>
      <c r="O218" s="429"/>
      <c r="P218" s="429"/>
    </row>
    <row r="219" spans="2:16" ht="12.75">
      <c r="B219" s="232"/>
      <c r="C219" s="232"/>
      <c r="D219" s="232"/>
      <c r="E219" s="232"/>
      <c r="F219" s="232"/>
      <c r="G219" s="232"/>
      <c r="H219" s="232"/>
      <c r="I219" s="232"/>
      <c r="J219" s="429"/>
      <c r="K219" s="429"/>
      <c r="L219" s="429"/>
      <c r="M219" s="429"/>
      <c r="N219" s="429"/>
      <c r="O219" s="429"/>
      <c r="P219" s="429"/>
    </row>
    <row r="220" spans="2:16" ht="12.75">
      <c r="B220" s="232"/>
      <c r="C220" s="232"/>
      <c r="D220" s="232"/>
      <c r="E220" s="232"/>
      <c r="F220" s="232"/>
      <c r="G220" s="232"/>
      <c r="H220" s="232"/>
      <c r="I220" s="232"/>
      <c r="J220" s="429"/>
      <c r="K220" s="429"/>
      <c r="L220" s="429"/>
      <c r="M220" s="429"/>
      <c r="N220" s="429"/>
      <c r="O220" s="429"/>
      <c r="P220" s="429"/>
    </row>
    <row r="221" spans="2:16" ht="12.75">
      <c r="B221" s="232"/>
      <c r="C221" s="232"/>
      <c r="D221" s="232"/>
      <c r="E221" s="232"/>
      <c r="F221" s="232"/>
      <c r="G221" s="232"/>
      <c r="H221" s="232"/>
      <c r="I221" s="232"/>
      <c r="J221" s="429"/>
      <c r="K221" s="429"/>
      <c r="L221" s="429"/>
      <c r="M221" s="429"/>
      <c r="N221" s="429"/>
      <c r="O221" s="429"/>
      <c r="P221" s="429"/>
    </row>
    <row r="222" spans="2:16" ht="12.75">
      <c r="B222" s="232"/>
      <c r="C222" s="232"/>
      <c r="D222" s="232"/>
      <c r="E222" s="232"/>
      <c r="F222" s="232"/>
      <c r="G222" s="232"/>
      <c r="H222" s="232"/>
      <c r="I222" s="232"/>
      <c r="J222" s="429"/>
      <c r="K222" s="429"/>
      <c r="L222" s="429"/>
      <c r="M222" s="429"/>
      <c r="N222" s="429"/>
      <c r="O222" s="429"/>
      <c r="P222" s="429"/>
    </row>
    <row r="223" spans="2:16" ht="12.75">
      <c r="B223" s="232"/>
      <c r="C223" s="232"/>
      <c r="D223" s="232"/>
      <c r="E223" s="232"/>
      <c r="F223" s="232"/>
      <c r="G223" s="232"/>
      <c r="H223" s="232"/>
      <c r="I223" s="232"/>
      <c r="J223" s="429"/>
      <c r="K223" s="429"/>
      <c r="L223" s="429"/>
      <c r="M223" s="429"/>
      <c r="N223" s="429"/>
      <c r="O223" s="429"/>
      <c r="P223" s="429"/>
    </row>
    <row r="224" spans="2:16" ht="12.75">
      <c r="B224" s="232"/>
      <c r="C224" s="232"/>
      <c r="D224" s="232"/>
      <c r="E224" s="232"/>
      <c r="F224" s="232"/>
      <c r="G224" s="232"/>
      <c r="H224" s="232"/>
      <c r="I224" s="232"/>
      <c r="J224" s="429"/>
      <c r="K224" s="429"/>
      <c r="L224" s="429"/>
      <c r="M224" s="429"/>
      <c r="N224" s="429"/>
      <c r="O224" s="429"/>
      <c r="P224" s="429"/>
    </row>
    <row r="225" spans="2:16" ht="12.75">
      <c r="B225" s="232"/>
      <c r="C225" s="232"/>
      <c r="D225" s="232"/>
      <c r="E225" s="232"/>
      <c r="F225" s="232"/>
      <c r="G225" s="232"/>
      <c r="H225" s="232"/>
      <c r="I225" s="232"/>
      <c r="J225" s="429"/>
      <c r="K225" s="429"/>
      <c r="L225" s="429"/>
      <c r="M225" s="429"/>
      <c r="N225" s="429"/>
      <c r="O225" s="429"/>
      <c r="P225" s="429"/>
    </row>
    <row r="226" spans="2:16" ht="12.75">
      <c r="B226" s="232"/>
      <c r="C226" s="232"/>
      <c r="D226" s="232"/>
      <c r="E226" s="232"/>
      <c r="F226" s="232"/>
      <c r="G226" s="414"/>
      <c r="H226" s="423"/>
      <c r="I226" s="232"/>
      <c r="J226" s="426"/>
      <c r="K226" s="426"/>
      <c r="L226" s="426"/>
      <c r="M226" s="426"/>
      <c r="N226" s="429"/>
      <c r="O226" s="426"/>
      <c r="P226" s="426"/>
    </row>
    <row r="227" spans="2:16" ht="12.75">
      <c r="B227" s="232"/>
      <c r="C227" s="232"/>
      <c r="D227" s="232"/>
      <c r="E227" s="232"/>
      <c r="F227" s="232"/>
      <c r="G227" s="414"/>
      <c r="H227" s="423"/>
      <c r="I227" s="232"/>
      <c r="J227" s="426"/>
      <c r="K227" s="426"/>
      <c r="L227" s="426"/>
      <c r="M227" s="426"/>
      <c r="N227" s="429"/>
      <c r="O227" s="426"/>
      <c r="P227" s="426"/>
    </row>
    <row r="228" spans="2:16" ht="12.75">
      <c r="B228" s="232"/>
      <c r="C228" s="232"/>
      <c r="D228" s="232"/>
      <c r="E228" s="232"/>
      <c r="F228" s="232"/>
      <c r="G228" s="414"/>
      <c r="H228" s="423"/>
      <c r="I228" s="232"/>
      <c r="J228" s="426"/>
      <c r="K228" s="426"/>
      <c r="L228" s="426"/>
      <c r="M228" s="426"/>
      <c r="N228" s="429"/>
      <c r="O228" s="426"/>
      <c r="P228" s="426"/>
    </row>
    <row r="229" spans="2:16" ht="12.75">
      <c r="B229" s="232"/>
      <c r="C229" s="232"/>
      <c r="D229" s="232"/>
      <c r="E229" s="232"/>
      <c r="F229" s="232"/>
      <c r="G229" s="414"/>
      <c r="H229" s="423"/>
      <c r="I229" s="232"/>
      <c r="J229" s="426"/>
      <c r="K229" s="426"/>
      <c r="L229" s="426"/>
      <c r="M229" s="426"/>
      <c r="N229" s="429"/>
      <c r="O229" s="426"/>
      <c r="P229" s="426"/>
    </row>
    <row r="230" spans="2:16" ht="12.75">
      <c r="B230" s="232"/>
      <c r="C230" s="232"/>
      <c r="D230" s="232"/>
      <c r="E230" s="232"/>
      <c r="F230" s="232"/>
      <c r="G230" s="414"/>
      <c r="H230" s="423"/>
      <c r="I230" s="232"/>
      <c r="J230" s="426"/>
      <c r="K230" s="426"/>
      <c r="L230" s="426"/>
      <c r="M230" s="426"/>
      <c r="N230" s="429"/>
      <c r="O230" s="426"/>
      <c r="P230" s="426"/>
    </row>
    <row r="231" spans="2:16" ht="12.75">
      <c r="B231" s="232"/>
      <c r="C231" s="232"/>
      <c r="D231" s="232"/>
      <c r="E231" s="232"/>
      <c r="F231" s="232"/>
      <c r="G231" s="414"/>
      <c r="H231" s="423"/>
      <c r="I231" s="232"/>
      <c r="J231" s="426"/>
      <c r="K231" s="426"/>
      <c r="L231" s="426"/>
      <c r="M231" s="426"/>
      <c r="N231" s="429"/>
      <c r="O231" s="426"/>
      <c r="P231" s="426"/>
    </row>
    <row r="232" spans="2:16" ht="12.75">
      <c r="B232" s="232"/>
      <c r="C232" s="232"/>
      <c r="D232" s="232"/>
      <c r="E232" s="232"/>
      <c r="F232" s="232"/>
      <c r="G232" s="414"/>
      <c r="H232" s="423"/>
      <c r="I232" s="232"/>
      <c r="J232" s="426"/>
      <c r="K232" s="426"/>
      <c r="L232" s="426"/>
      <c r="M232" s="426"/>
      <c r="N232" s="429"/>
      <c r="O232" s="426"/>
      <c r="P232" s="426"/>
    </row>
    <row r="233" spans="2:16" ht="12.75">
      <c r="B233" s="232"/>
      <c r="C233" s="232"/>
      <c r="D233" s="232"/>
      <c r="E233" s="232"/>
      <c r="F233" s="232"/>
      <c r="G233" s="414"/>
      <c r="H233" s="423"/>
      <c r="I233" s="232"/>
      <c r="J233" s="426"/>
      <c r="K233" s="426"/>
      <c r="L233" s="426"/>
      <c r="M233" s="426"/>
      <c r="N233" s="429"/>
      <c r="O233" s="426"/>
      <c r="P233" s="426"/>
    </row>
    <row r="234" spans="2:16" ht="12.75">
      <c r="B234" s="232"/>
      <c r="C234" s="232"/>
      <c r="D234" s="232"/>
      <c r="E234" s="232"/>
      <c r="F234" s="232"/>
      <c r="G234" s="414"/>
      <c r="H234" s="423"/>
      <c r="I234" s="232"/>
      <c r="J234" s="426"/>
      <c r="K234" s="426"/>
      <c r="L234" s="426"/>
      <c r="M234" s="426"/>
      <c r="N234" s="429"/>
      <c r="O234" s="426"/>
      <c r="P234" s="426"/>
    </row>
    <row r="235" spans="2:16" ht="12.75">
      <c r="B235" s="232"/>
      <c r="C235" s="232"/>
      <c r="D235" s="232"/>
      <c r="E235" s="232"/>
      <c r="F235" s="232"/>
      <c r="G235" s="414"/>
      <c r="H235" s="423"/>
      <c r="I235" s="232"/>
      <c r="J235" s="426"/>
      <c r="K235" s="426"/>
      <c r="L235" s="426"/>
      <c r="M235" s="426"/>
      <c r="N235" s="429"/>
      <c r="O235" s="426"/>
      <c r="P235" s="426"/>
    </row>
    <row r="236" spans="2:16" ht="12.75">
      <c r="B236" s="232"/>
      <c r="C236" s="232"/>
      <c r="D236" s="232"/>
      <c r="E236" s="232"/>
      <c r="F236" s="232"/>
      <c r="G236" s="414"/>
      <c r="H236" s="423"/>
      <c r="I236" s="232"/>
      <c r="J236" s="426"/>
      <c r="K236" s="426"/>
      <c r="L236" s="426"/>
      <c r="M236" s="426"/>
      <c r="N236" s="429"/>
      <c r="O236" s="426"/>
      <c r="P236" s="426"/>
    </row>
    <row r="237" spans="2:16" ht="12.75">
      <c r="B237" s="232"/>
      <c r="C237" s="232"/>
      <c r="D237" s="232"/>
      <c r="E237" s="232"/>
      <c r="F237" s="232"/>
      <c r="G237" s="414"/>
      <c r="H237" s="423"/>
      <c r="I237" s="232"/>
      <c r="J237" s="426"/>
      <c r="K237" s="426"/>
      <c r="L237" s="426"/>
      <c r="M237" s="426"/>
      <c r="N237" s="429"/>
      <c r="O237" s="426"/>
      <c r="P237" s="426"/>
    </row>
    <row r="238" spans="2:16" ht="12.75">
      <c r="B238" s="232"/>
      <c r="C238" s="232"/>
      <c r="D238" s="232"/>
      <c r="E238" s="232"/>
      <c r="F238" s="232"/>
      <c r="G238" s="414"/>
      <c r="H238" s="423"/>
      <c r="I238" s="232"/>
      <c r="J238" s="426"/>
      <c r="K238" s="426"/>
      <c r="L238" s="426"/>
      <c r="M238" s="426"/>
      <c r="N238" s="429"/>
      <c r="O238" s="426"/>
      <c r="P238" s="426"/>
    </row>
    <row r="239" spans="2:16" ht="12.75">
      <c r="B239" s="232"/>
      <c r="C239" s="232"/>
      <c r="D239" s="232"/>
      <c r="E239" s="232"/>
      <c r="F239" s="232"/>
      <c r="G239" s="414"/>
      <c r="H239" s="423"/>
      <c r="I239" s="232"/>
      <c r="J239" s="426"/>
      <c r="K239" s="426"/>
      <c r="L239" s="426"/>
      <c r="M239" s="426"/>
      <c r="N239" s="429"/>
      <c r="O239" s="426"/>
      <c r="P239" s="426"/>
    </row>
    <row r="240" spans="2:16" ht="12.75">
      <c r="B240" s="232"/>
      <c r="C240" s="232"/>
      <c r="D240" s="232"/>
      <c r="E240" s="232"/>
      <c r="F240" s="232"/>
      <c r="G240" s="414"/>
      <c r="H240" s="423"/>
      <c r="I240" s="232"/>
      <c r="J240" s="426"/>
      <c r="K240" s="426"/>
      <c r="L240" s="426"/>
      <c r="M240" s="426"/>
      <c r="N240" s="429"/>
      <c r="O240" s="426"/>
      <c r="P240" s="426"/>
    </row>
    <row r="241" spans="2:16" ht="12.75">
      <c r="B241" s="232"/>
      <c r="C241" s="232"/>
      <c r="D241" s="232"/>
      <c r="E241" s="232"/>
      <c r="F241" s="232"/>
      <c r="G241" s="414"/>
      <c r="H241" s="423"/>
      <c r="I241" s="232"/>
      <c r="J241" s="426"/>
      <c r="K241" s="426"/>
      <c r="L241" s="426"/>
      <c r="M241" s="426"/>
      <c r="N241" s="429"/>
      <c r="O241" s="426"/>
      <c r="P241" s="426"/>
    </row>
    <row r="242" spans="2:16" ht="13.5" thickBot="1">
      <c r="B242" s="390"/>
      <c r="C242" s="390"/>
      <c r="D242" s="390"/>
      <c r="E242" s="390"/>
      <c r="F242" s="390"/>
      <c r="G242" s="415"/>
      <c r="H242" s="424"/>
      <c r="I242" s="390"/>
      <c r="J242" s="427"/>
      <c r="K242" s="427"/>
      <c r="L242" s="427"/>
      <c r="M242" s="427"/>
      <c r="N242" s="430"/>
      <c r="O242" s="427"/>
      <c r="P242" s="427"/>
    </row>
  </sheetData>
  <dataValidations count="2">
    <dataValidation type="list" allowBlank="1" showInputMessage="1" showErrorMessage="1" prompt="Choose a machine type from the list&#10;" error="You must select an existing tool name&#10;" sqref="D218:D242 D70:D104">
      <formula1>$A$37:$A$79</formula1>
    </dataValidation>
    <dataValidation type="list" allowBlank="1" showInputMessage="1" showErrorMessage="1" prompt="Choose the mask name from the list&#10;" sqref="E218:E242 E70:E104">
      <formula1>$B$37:$B$40</formula1>
    </dataValidation>
  </dataValidations>
  <printOptions/>
  <pageMargins left="0.75" right="0.75" top="1" bottom="1" header="0.5" footer="0.5"/>
  <pageSetup horizontalDpi="600" verticalDpi="600" orientation="landscape"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California at Berkeley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Semiconductor Cost</dc:title>
  <dc:subject/>
  <dc:creator>Gita Swamy</dc:creator>
  <cp:keywords/>
  <dc:description>Derived from Nancy Sato's model</dc:description>
  <cp:lastModifiedBy>Sandy Mallalieu</cp:lastModifiedBy>
  <cp:lastPrinted>2005-02-15T11:50:22Z</cp:lastPrinted>
  <dcterms:created xsi:type="dcterms:W3CDTF">1999-04-10T23:01:55Z</dcterms:created>
  <dcterms:modified xsi:type="dcterms:W3CDTF">2006-02-17T23:44:56Z</dcterms:modified>
  <cp:category/>
  <cp:version/>
  <cp:contentType/>
  <cp:contentStatus/>
</cp:coreProperties>
</file>