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456" windowWidth="16340" windowHeight="13060" tabRatio="817" activeTab="0"/>
  </bookViews>
  <sheets>
    <sheet name="GOOG" sheetId="1" r:id="rId1"/>
    <sheet name="GOOG forecast" sheetId="2" r:id="rId2"/>
    <sheet name="Interest Rates" sheetId="3" r:id="rId3"/>
    <sheet name="S-curve" sheetId="4" r:id="rId4"/>
  </sheets>
  <definedNames>
    <definedName name="drift">'GOOG'!$C$74</definedName>
    <definedName name="vol">'GOOG'!$B$88</definedName>
  </definedNames>
  <calcPr calcMode="autoNoTable" fullCalcOnLoad="1" iterate="1" iterateCount="100" iterateDelta="0.001"/>
</workbook>
</file>

<file path=xl/comments1.xml><?xml version="1.0" encoding="utf-8"?>
<comments xmlns="http://schemas.openxmlformats.org/spreadsheetml/2006/main">
  <authors>
    <author>Michel-Alexandre Cardin</author>
  </authors>
  <commentList>
    <comment ref="C5" authorId="0">
      <text>
        <r>
          <rPr>
            <b/>
            <sz val="9"/>
            <rFont val="Arial"/>
            <family val="0"/>
          </rPr>
          <t>Michel-Alexandre Cardin:</t>
        </r>
        <r>
          <rPr>
            <sz val="9"/>
            <rFont val="Arial"/>
            <family val="0"/>
          </rPr>
          <t xml:space="preserve">
Closing price on New York Stock Exchange (NYSE)</t>
        </r>
      </text>
    </comment>
    <comment ref="D5" authorId="0">
      <text>
        <r>
          <rPr>
            <b/>
            <sz val="9"/>
            <rFont val="Arial"/>
            <family val="0"/>
          </rPr>
          <t>Michel-Alexandre Cardin:</t>
        </r>
        <r>
          <rPr>
            <sz val="9"/>
            <rFont val="Arial"/>
            <family val="0"/>
          </rPr>
          <t xml:space="preserve">
We take the natural logarithm to linearize the function and perform a regression on the linearized results, plotted in graph "Regression on LN(P)"</t>
        </r>
      </text>
    </comment>
    <comment ref="B5" authorId="0">
      <text>
        <r>
          <rPr>
            <b/>
            <sz val="9"/>
            <rFont val="Arial"/>
            <family val="0"/>
          </rPr>
          <t>Michel-Alexandre Cardin:</t>
        </r>
        <r>
          <rPr>
            <sz val="9"/>
            <rFont val="Arial"/>
            <family val="0"/>
          </rPr>
          <t xml:space="preserve">
Number of months since the Initial Purchase Offering (IPO)</t>
        </r>
      </text>
    </comment>
    <comment ref="G5" authorId="0">
      <text>
        <r>
          <rPr>
            <b/>
            <sz val="9"/>
            <rFont val="Arial"/>
            <family val="0"/>
          </rPr>
          <t>Michel-Alexandre Cardin:</t>
        </r>
        <r>
          <rPr>
            <sz val="9"/>
            <rFont val="Arial"/>
            <family val="0"/>
          </rPr>
          <t xml:space="preserve">
This reconstructs the exponential function fit using the values obtained for a and r from the regression results.</t>
        </r>
      </text>
    </comment>
    <comment ref="A72" authorId="0">
      <text>
        <r>
          <rPr>
            <b/>
            <sz val="9"/>
            <rFont val="Arial"/>
            <family val="0"/>
          </rPr>
          <t>Michel-Alexandre Cardin:</t>
        </r>
        <r>
          <rPr>
            <sz val="9"/>
            <rFont val="Arial"/>
            <family val="0"/>
          </rPr>
          <t xml:space="preserve">
This stores the regression results obtained from Excel and displayed on the graph "Regression on LN(P)"</t>
        </r>
      </text>
    </comment>
    <comment ref="A74" authorId="0">
      <text>
        <r>
          <rPr>
            <b/>
            <sz val="9"/>
            <rFont val="Arial"/>
            <family val="0"/>
          </rPr>
          <t>Michel-Alexandre Cardin:</t>
        </r>
        <r>
          <rPr>
            <sz val="9"/>
            <rFont val="Arial"/>
            <family val="0"/>
          </rPr>
          <t xml:space="preserve">
In this case, β is equivalent to r, the average growth rate we are looking for.</t>
        </r>
      </text>
    </comment>
    <comment ref="F73" authorId="0">
      <text>
        <r>
          <rPr>
            <b/>
            <sz val="9"/>
            <rFont val="Arial"/>
            <family val="0"/>
          </rPr>
          <t>Michel-Alexandre Cardin:</t>
        </r>
        <r>
          <rPr>
            <sz val="9"/>
            <rFont val="Arial"/>
            <family val="0"/>
          </rPr>
          <t xml:space="preserve">
Since the regression is done for LN(P), we take a = e</t>
        </r>
        <r>
          <rPr>
            <vertAlign val="superscript"/>
            <sz val="9"/>
            <rFont val="Arial"/>
            <family val="0"/>
          </rPr>
          <t>α</t>
        </r>
        <r>
          <rPr>
            <sz val="9"/>
            <rFont val="Arial"/>
            <family val="0"/>
          </rPr>
          <t>.</t>
        </r>
      </text>
    </comment>
    <comment ref="F5" authorId="0">
      <text>
        <r>
          <rPr>
            <b/>
            <sz val="9"/>
            <rFont val="Arial"/>
            <family val="0"/>
          </rPr>
          <t>Michel-Alexandre Cardin:</t>
        </r>
        <r>
          <rPr>
            <sz val="9"/>
            <rFont val="Arial"/>
            <family val="0"/>
          </rPr>
          <t xml:space="preserve">
This column squares the difference between the fit values in the previous column and real data in column LN(P). This will be useful to calculate the sum of square error (SSE) necessary to find the standard error.</t>
        </r>
      </text>
    </comment>
    <comment ref="H5" authorId="0">
      <text>
        <r>
          <rPr>
            <b/>
            <sz val="9"/>
            <rFont val="Arial"/>
            <family val="0"/>
          </rPr>
          <t>Michel-Alexandre Cardin:</t>
        </r>
        <r>
          <rPr>
            <sz val="9"/>
            <rFont val="Arial"/>
            <family val="0"/>
          </rPr>
          <t xml:space="preserve">
This column squares the percentage difference between the fit values in the previous column and real data in column P ($). We will use these to find a standard error analogous to the one using logarithmic data.</t>
        </r>
      </text>
    </comment>
    <comment ref="E5" authorId="0">
      <text>
        <r>
          <rPr>
            <b/>
            <sz val="9"/>
            <rFont val="Arial"/>
            <family val="0"/>
          </rPr>
          <t>Michel-Alexandre Cardin:</t>
        </r>
        <r>
          <rPr>
            <sz val="9"/>
            <rFont val="Arial"/>
            <family val="0"/>
          </rPr>
          <t xml:space="preserve">
We will use this to understand how to compute the standard error.</t>
        </r>
      </text>
    </comment>
    <comment ref="A79" authorId="0">
      <text>
        <r>
          <rPr>
            <b/>
            <sz val="9"/>
            <rFont val="Arial"/>
            <family val="0"/>
          </rPr>
          <t>Michel-Alexandre Cardin:</t>
        </r>
        <r>
          <rPr>
            <sz val="9"/>
            <rFont val="Arial"/>
            <family val="0"/>
          </rPr>
          <t xml:space="preserve">
Note these results are obtained using the Data Analysis in Tools -&gt; Data Analysis menu, using the regression tool. The results are the same as obtained with approaches 1 and 2.</t>
        </r>
      </text>
    </comment>
    <comment ref="A86" authorId="0">
      <text>
        <r>
          <rPr>
            <b/>
            <sz val="9"/>
            <rFont val="Arial"/>
            <family val="0"/>
          </rPr>
          <t>Michel-Alexandre Cardin:</t>
        </r>
        <r>
          <rPr>
            <sz val="9"/>
            <rFont val="Arial"/>
            <family val="0"/>
          </rPr>
          <t xml:space="preserve">
This is the sum of square error. This is the deviation from the real data to the fitted curve using logarithm of original data.</t>
        </r>
      </text>
    </comment>
    <comment ref="A87" authorId="0">
      <text>
        <r>
          <rPr>
            <b/>
            <sz val="9"/>
            <rFont val="Arial"/>
            <family val="0"/>
          </rPr>
          <t>Michel-Alexandre Cardin:</t>
        </r>
        <r>
          <rPr>
            <sz val="9"/>
            <rFont val="Arial"/>
            <family val="0"/>
          </rPr>
          <t xml:space="preserve">
This is the mean square error, which is the SSE/dfe, where dfe is the number of degrees of freedom of the error in data. Here dfe = n - 2 = 60 - 2 = 58.</t>
        </r>
      </text>
    </comment>
    <comment ref="A88" authorId="0">
      <text>
        <r>
          <rPr>
            <b/>
            <sz val="9"/>
            <rFont val="Arial"/>
            <family val="0"/>
          </rPr>
          <t>Michel-Alexandre Cardin:</t>
        </r>
        <r>
          <rPr>
            <sz val="9"/>
            <rFont val="Arial"/>
            <family val="0"/>
          </rPr>
          <t xml:space="preserve">
The standard error measures the standard deviation of the error between the original data and fitted data. It provides an estimate for the volatility of data compared to the trendline.</t>
        </r>
      </text>
    </comment>
    <comment ref="B86" authorId="0">
      <text>
        <r>
          <rPr>
            <b/>
            <sz val="9"/>
            <rFont val="Arial"/>
            <family val="0"/>
          </rPr>
          <t>Michel-Alexandre Cardin:</t>
        </r>
        <r>
          <rPr>
            <sz val="9"/>
            <rFont val="Arial"/>
            <family val="0"/>
          </rPr>
          <t xml:space="preserve">
This corresponds to Residual SS (residual sum of squares) in regression table.</t>
        </r>
      </text>
    </comment>
    <comment ref="B87" authorId="0">
      <text>
        <r>
          <rPr>
            <b/>
            <sz val="9"/>
            <rFont val="Arial"/>
            <family val="0"/>
          </rPr>
          <t>Michel-Alexandre Cardin:</t>
        </r>
        <r>
          <rPr>
            <sz val="9"/>
            <rFont val="Arial"/>
            <family val="0"/>
          </rPr>
          <t xml:space="preserve">
This corresponds to Residual MS (Mean Square) in the regression table.</t>
        </r>
      </text>
    </comment>
    <comment ref="B88" authorId="0">
      <text>
        <r>
          <rPr>
            <b/>
            <sz val="9"/>
            <rFont val="Arial"/>
            <family val="0"/>
          </rPr>
          <t>Michel-Alexandre Cardin:</t>
        </r>
        <r>
          <rPr>
            <sz val="9"/>
            <rFont val="Arial"/>
            <family val="0"/>
          </rPr>
          <t xml:space="preserve">
This is the standard error, same value as obtained in the regression table.
This provides an estimate of volatility of data.</t>
        </r>
      </text>
    </comment>
    <comment ref="C86" authorId="0">
      <text>
        <r>
          <rPr>
            <b/>
            <sz val="9"/>
            <rFont val="Arial"/>
            <family val="0"/>
          </rPr>
          <t>Michel-Alexandre Cardin:</t>
        </r>
        <r>
          <rPr>
            <sz val="9"/>
            <rFont val="Arial"/>
            <family val="0"/>
          </rPr>
          <t xml:space="preserve">
By analogy to what is done with the logarithmic data, we sum the squared percentage deviation between real price data and fitted price data.</t>
        </r>
      </text>
    </comment>
    <comment ref="C87" authorId="0">
      <text>
        <r>
          <rPr>
            <b/>
            <sz val="9"/>
            <rFont val="Arial"/>
            <family val="0"/>
          </rPr>
          <t>Michel-Alexandre Cardin:</t>
        </r>
        <r>
          <rPr>
            <sz val="9"/>
            <rFont val="Arial"/>
            <family val="0"/>
          </rPr>
          <t xml:space="preserve">
We take the MSE using the same number of degree of freedoms.</t>
        </r>
      </text>
    </comment>
    <comment ref="C88" authorId="0">
      <text>
        <r>
          <rPr>
            <b/>
            <sz val="9"/>
            <rFont val="Arial"/>
            <family val="0"/>
          </rPr>
          <t>Michel-Alexandre Cardin:</t>
        </r>
        <r>
          <rPr>
            <sz val="9"/>
            <rFont val="Arial"/>
            <family val="0"/>
          </rPr>
          <t xml:space="preserve">
This provides another estimate of volatility of historical price data.</t>
        </r>
      </text>
    </comment>
  </commentList>
</comments>
</file>

<file path=xl/comments4.xml><?xml version="1.0" encoding="utf-8"?>
<comments xmlns="http://schemas.openxmlformats.org/spreadsheetml/2006/main">
  <authors>
    <author>Michel-Alexandre Cardin</author>
  </authors>
  <commentList>
    <comment ref="C19" authorId="0">
      <text>
        <r>
          <rPr>
            <b/>
            <sz val="9"/>
            <rFont val="Arial"/>
            <family val="0"/>
          </rPr>
          <t xml:space="preserve">Michel-Alexandre Cardin:
</t>
        </r>
        <r>
          <rPr>
            <sz val="9"/>
            <rFont val="Arial"/>
            <family val="0"/>
          </rPr>
          <t>Same formula as the one we used in Session 2 for Monte Carlo simulation.</t>
        </r>
      </text>
    </comment>
    <comment ref="C21" authorId="0">
      <text>
        <r>
          <rPr>
            <b/>
            <sz val="9"/>
            <rFont val="Arial"/>
            <family val="0"/>
          </rPr>
          <t>Michel-Alexandre Cardin:</t>
        </r>
        <r>
          <rPr>
            <sz val="9"/>
            <rFont val="Arial"/>
            <family val="0"/>
          </rPr>
          <t xml:space="preserve">
According to model in Session 3 presentation.</t>
        </r>
      </text>
    </comment>
    <comment ref="C25" authorId="0">
      <text>
        <r>
          <rPr>
            <b/>
            <sz val="9"/>
            <rFont val="Arial"/>
            <family val="0"/>
          </rPr>
          <t>Michel-Alexandre Cardin:</t>
        </r>
        <r>
          <rPr>
            <sz val="9"/>
            <rFont val="Arial"/>
            <family val="0"/>
          </rPr>
          <t xml:space="preserve">
According to model in Session 3 presentation.</t>
        </r>
      </text>
    </comment>
    <comment ref="F26" authorId="0">
      <text>
        <r>
          <rPr>
            <b/>
            <sz val="9"/>
            <rFont val="Arial"/>
            <family val="0"/>
          </rPr>
          <t>Michel-Alexandre Cardin:</t>
        </r>
        <r>
          <rPr>
            <sz val="9"/>
            <rFont val="Arial"/>
            <family val="0"/>
          </rPr>
          <t xml:space="preserve">
Same stochastic model applied here as for GBM and Mean Reversion: expected trend + uncertainty.</t>
        </r>
      </text>
    </comment>
    <comment ref="C20" authorId="0">
      <text>
        <r>
          <rPr>
            <b/>
            <sz val="9"/>
            <rFont val="Arial"/>
            <family val="0"/>
          </rPr>
          <t>Michel-Alexandre Cardin:</t>
        </r>
        <r>
          <rPr>
            <sz val="9"/>
            <rFont val="Arial"/>
            <family val="0"/>
          </rPr>
          <t xml:space="preserve">
As shown in Session 3 presentation, the limit is either +/- 40% of 1600.</t>
        </r>
      </text>
    </comment>
    <comment ref="C22" authorId="0">
      <text>
        <r>
          <rPr>
            <b/>
            <sz val="9"/>
            <rFont val="Arial"/>
            <family val="0"/>
          </rPr>
          <t>Michel-Alexandre Cardin:</t>
        </r>
        <r>
          <rPr>
            <sz val="9"/>
            <rFont val="Arial"/>
            <family val="0"/>
          </rPr>
          <t xml:space="preserve">
According to model in Session 3 presentation.</t>
        </r>
      </text>
    </comment>
  </commentList>
</comments>
</file>

<file path=xl/sharedStrings.xml><?xml version="1.0" encoding="utf-8"?>
<sst xmlns="http://schemas.openxmlformats.org/spreadsheetml/2006/main" count="113" uniqueCount="103">
  <si>
    <t>Realized demand in year 0</t>
  </si>
  <si>
    <t>Actual limit of demand</t>
  </si>
  <si>
    <t>Demand projection</t>
  </si>
  <si>
    <t>Demand Growth projection</t>
  </si>
  <si>
    <t>Realized Growth</t>
  </si>
  <si>
    <t>Random draw from standardized normal distribution</t>
  </si>
  <si>
    <t>Realized Demand</t>
  </si>
  <si>
    <t>Calculation:</t>
  </si>
  <si>
    <t>Date</t>
  </si>
  <si>
    <t>September</t>
  </si>
  <si>
    <t>October</t>
  </si>
  <si>
    <t>November</t>
  </si>
  <si>
    <t>December</t>
  </si>
  <si>
    <t>January</t>
  </si>
  <si>
    <t>February</t>
  </si>
  <si>
    <t>March</t>
  </si>
  <si>
    <t>April</t>
  </si>
  <si>
    <t>May</t>
  </si>
  <si>
    <t>June</t>
  </si>
  <si>
    <t>July</t>
  </si>
  <si>
    <t>August</t>
  </si>
  <si>
    <t>Mean reversion (η):</t>
  </si>
  <si>
    <t>Long-term mean (u):</t>
  </si>
  <si>
    <t>Annual volatility (σ):</t>
  </si>
  <si>
    <t>Realized demand in year 0 can differ from projected demand by</t>
  </si>
  <si>
    <t>Limit of demand (M)</t>
  </si>
  <si>
    <t>Translation parameter (a)</t>
  </si>
  <si>
    <t>Sharpness parameter (b)</t>
  </si>
  <si>
    <t>Sharpness parameter (b) may differ from projection by</t>
  </si>
  <si>
    <t xml:space="preserve">Deterministic </t>
  </si>
  <si>
    <t>This spreadsheet shows how to compute the average growth rate (r) and volatility (σ)</t>
  </si>
  <si>
    <t>Month (t)</t>
  </si>
  <si>
    <t>P ($)</t>
  </si>
  <si>
    <t>LN(P)</t>
  </si>
  <si>
    <t>Regression Results</t>
  </si>
  <si>
    <t>Alpha (α)</t>
  </si>
  <si>
    <t>=&gt; average growth rate r per month</t>
  </si>
  <si>
    <t>(since 1 period = 1 month)</t>
  </si>
  <si>
    <r>
      <t>for a function of the form f(t) = ae</t>
    </r>
    <r>
      <rPr>
        <b/>
        <vertAlign val="superscript"/>
        <sz val="14"/>
        <rFont val="Arial"/>
        <family val="0"/>
      </rPr>
      <t>rt</t>
    </r>
    <r>
      <rPr>
        <b/>
        <sz val="14"/>
        <rFont val="Arial"/>
        <family val="0"/>
      </rPr>
      <t>, from original Google stock price data</t>
    </r>
  </si>
  <si>
    <r>
      <t>=&gt; a = e</t>
    </r>
    <r>
      <rPr>
        <vertAlign val="superscript"/>
        <sz val="10"/>
        <rFont val="Arial"/>
        <family val="0"/>
      </rPr>
      <t>α</t>
    </r>
  </si>
  <si>
    <r>
      <t>Beta (</t>
    </r>
    <r>
      <rPr>
        <sz val="10"/>
        <rFont val="Arial"/>
        <family val="0"/>
      </rPr>
      <t>β</t>
    </r>
    <r>
      <rPr>
        <b/>
        <sz val="10"/>
        <rFont val="Arial"/>
        <family val="0"/>
      </rPr>
      <t>)</t>
    </r>
  </si>
  <si>
    <t>READ COMMENTS ASSOCIATED TO CELLS MARKED IN YELLOW</t>
  </si>
  <si>
    <t>APPROACH 1: USE EXCEL TRENDLINE WITH EXPONENTIAL FORM</t>
  </si>
  <si>
    <t>Reconstructed fit of form LN(P) = LN(a) + rt</t>
  </si>
  <si>
    <t>total df = n = 61 because we have 61 data points</t>
  </si>
  <si>
    <t>df for the regression model is n - 1 = 61 - 1 = 60 as seen on the Excel regression output, where 1 is one degree of freedom taken out by the mean of our data</t>
  </si>
  <si>
    <t>df for the error is obtained by subtraction, therefore n - p - 1 = 61 - 1 - 1 = 59</t>
  </si>
  <si>
    <t>This is why we divide MSE by 59 above.</t>
  </si>
  <si>
    <t>APPROACH 2: USE EXCEL TRENDLINE WITH LINEAR FORM ON LOGARITHM OF DATA</t>
  </si>
  <si>
    <t>FINDING THE TREND EQUATION</t>
  </si>
  <si>
    <t>APPROACHES 1 AND 2</t>
  </si>
  <si>
    <t>APPROACH 3: USE EXCEL DATA ANALYSIS -&gt; REGRESSION TOOLPAK</t>
  </si>
  <si>
    <t>SUMMARY OUTPUT: LINEAR REGRESSION ON LN(P)</t>
  </si>
  <si>
    <t>Regression Statistics</t>
  </si>
  <si>
    <t>APPROACH 3</t>
  </si>
  <si>
    <t>Multiple R</t>
  </si>
  <si>
    <t>R Square</t>
  </si>
  <si>
    <t>Adjusted R Square</t>
  </si>
  <si>
    <t>Standard Error</t>
  </si>
  <si>
    <t>Observations</t>
  </si>
  <si>
    <t>ANOVA</t>
  </si>
  <si>
    <t>FINDING THE VOLATILITY (OR STANDARD ERROR)</t>
  </si>
  <si>
    <t>df</t>
  </si>
  <si>
    <t>SS</t>
  </si>
  <si>
    <t>MS</t>
  </si>
  <si>
    <t>F</t>
  </si>
  <si>
    <t>Significance F</t>
  </si>
  <si>
    <t>Regression</t>
  </si>
  <si>
    <t>SSE</t>
  </si>
  <si>
    <t>Residual</t>
  </si>
  <si>
    <t>MSE</t>
  </si>
  <si>
    <t>Total</t>
  </si>
  <si>
    <t>Standard error</t>
  </si>
  <si>
    <t>Coefficients</t>
  </si>
  <si>
    <t>t Stat</t>
  </si>
  <si>
    <t>P-value</t>
  </si>
  <si>
    <t>Lower 95%</t>
  </si>
  <si>
    <t>Upper 95%</t>
  </si>
  <si>
    <t>Lower 95.0%</t>
  </si>
  <si>
    <t>Upper 95.0%</t>
  </si>
  <si>
    <t xml:space="preserve">Note: MSE is divided by the degrees of freedom (df) of the error (or residuals). </t>
  </si>
  <si>
    <t>Intercept</t>
  </si>
  <si>
    <t>df represents how many "states" or values the model, the total sum of squares, the regression, and the error (or residual) can take.</t>
  </si>
  <si>
    <t>X Variable 1</t>
  </si>
  <si>
    <t>See figure below to get intuition, where DOF means degree of freedom</t>
  </si>
  <si>
    <t>df for the regression is p = 1, as we only fit one parameter (or variable) in our model, in this case t</t>
  </si>
  <si>
    <t>Source: ESD.86 lecture notes, Spring 2008</t>
  </si>
  <si>
    <r>
      <t>(Difference with observation)</t>
    </r>
    <r>
      <rPr>
        <b/>
        <vertAlign val="superscript"/>
        <sz val="10"/>
        <rFont val="Arial"/>
        <family val="0"/>
      </rPr>
      <t>2</t>
    </r>
    <r>
      <rPr>
        <b/>
        <sz val="10"/>
        <rFont val="Arial"/>
        <family val="0"/>
      </rPr>
      <t xml:space="preserve"> in log space</t>
    </r>
  </si>
  <si>
    <r>
      <t>Reconstructed fit of form f(t) = ae</t>
    </r>
    <r>
      <rPr>
        <b/>
        <vertAlign val="superscript"/>
        <sz val="10"/>
        <rFont val="Arial"/>
        <family val="0"/>
      </rPr>
      <t>rt</t>
    </r>
    <r>
      <rPr>
        <b/>
        <sz val="10"/>
        <rFont val="Arial"/>
        <family val="0"/>
      </rPr>
      <t xml:space="preserve"> </t>
    </r>
  </si>
  <si>
    <r>
      <t>(% Difference with observation)</t>
    </r>
    <r>
      <rPr>
        <b/>
        <vertAlign val="superscript"/>
        <sz val="10"/>
        <rFont val="Arial"/>
        <family val="0"/>
      </rPr>
      <t xml:space="preserve">2 </t>
    </r>
  </si>
  <si>
    <r>
      <t>Beta (β</t>
    </r>
    <r>
      <rPr>
        <b/>
        <sz val="10"/>
        <rFont val="Arial"/>
        <family val="0"/>
      </rPr>
      <t>)</t>
    </r>
  </si>
  <si>
    <t>prepared by Michel-Alexandre Cardin, 11/2007, updated 09/2009</t>
  </si>
  <si>
    <t>Year</t>
  </si>
  <si>
    <t>Time</t>
  </si>
  <si>
    <t>Stock Price</t>
  </si>
  <si>
    <t>Random Draw from standardized normal distribution</t>
  </si>
  <si>
    <t>Realized return (expected return + random draw * volatility)</t>
  </si>
  <si>
    <t>Interest rate</t>
  </si>
  <si>
    <t>Realized return (expected reversion + random draw * volatility)</t>
  </si>
  <si>
    <t>Inputs:</t>
  </si>
  <si>
    <t>Demand in year 0</t>
  </si>
  <si>
    <t>Limit of demand can differ from projected demand by</t>
  </si>
  <si>
    <t>Annual volatility</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</si>
</sst>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00000000%"/>
    <numFmt numFmtId="173" formatCode="0.0"/>
    <numFmt numFmtId="174" formatCode="0.00_ ;[Red]\-0.00\ "/>
    <numFmt numFmtId="175" formatCode="0.0%"/>
    <numFmt numFmtId="176" formatCode="&quot;$&quot;#,##0.0;[Red]&quot;$&quot;\-#,##0.0"/>
    <numFmt numFmtId="177" formatCode="&quot;Yes&quot;;&quot;Yes&quot;;&quot;No&quot;"/>
    <numFmt numFmtId="178" formatCode="&quot;True&quot;;&quot;True&quot;;&quot;False&quot;"/>
    <numFmt numFmtId="179" formatCode="&quot;On&quot;;&quot;On&quot;;&quot;Off&quot;"/>
    <numFmt numFmtId="180" formatCode="0.00000000000000"/>
    <numFmt numFmtId="181" formatCode="0.0000"/>
    <numFmt numFmtId="182" formatCode="[$€-2]\ #,##0.00_);[Red]\([$€-2]\ #,##0.00\)"/>
    <numFmt numFmtId="183" formatCode="0.000"/>
    <numFmt numFmtId="184" formatCode="0.00000000000000%"/>
    <numFmt numFmtId="185" formatCode="_ * #,##0.000_ ;_ * \-#,##0.000_ ;_ * &quot;-&quot;??_ ;_ @_ "/>
    <numFmt numFmtId="186" formatCode="_ * #,##0.0000_ ;_ * \-#,##0.0000_ ;_ * &quot;-&quot;??_ ;_ @_ "/>
    <numFmt numFmtId="187" formatCode="mmm\-yyyy"/>
    <numFmt numFmtId="188" formatCode="0.00000"/>
    <numFmt numFmtId="189" formatCode="0.000000"/>
    <numFmt numFmtId="190" formatCode="0.00000000"/>
    <numFmt numFmtId="191" formatCode="0.0000000"/>
  </numFmts>
  <fonts count="30">
    <font>
      <sz val="10"/>
      <name val="Arial"/>
      <family val="0"/>
    </font>
    <font>
      <b/>
      <sz val="10"/>
      <color indexed="9"/>
      <name val="Arial"/>
      <family val="2"/>
    </font>
    <font>
      <b/>
      <i/>
      <sz val="10"/>
      <name val="Arial"/>
      <family val="0"/>
    </font>
    <font>
      <b/>
      <sz val="10"/>
      <name val="Arial"/>
      <family val="0"/>
    </font>
    <font>
      <u val="single"/>
      <sz val="10"/>
      <color indexed="12"/>
      <name val="Arial"/>
      <family val="0"/>
    </font>
    <font>
      <u val="single"/>
      <sz val="10"/>
      <color indexed="36"/>
      <name val="Arial"/>
      <family val="0"/>
    </font>
    <font>
      <b/>
      <sz val="10"/>
      <color indexed="12"/>
      <name val="Arial"/>
      <family val="2"/>
    </font>
    <font>
      <sz val="14.5"/>
      <name val="Arial"/>
      <family val="0"/>
    </font>
    <font>
      <sz val="9.25"/>
      <name val="Arial"/>
      <family val="0"/>
    </font>
    <font>
      <b/>
      <sz val="15.5"/>
      <name val="Arial"/>
      <family val="0"/>
    </font>
    <font>
      <b/>
      <sz val="11.25"/>
      <name val="Arial"/>
      <family val="0"/>
    </font>
    <font>
      <sz val="9"/>
      <name val="Arial"/>
      <family val="0"/>
    </font>
    <font>
      <b/>
      <sz val="9"/>
      <name val="Arial"/>
      <family val="0"/>
    </font>
    <font>
      <b/>
      <sz val="10.75"/>
      <name val="Arial"/>
      <family val="0"/>
    </font>
    <font>
      <b/>
      <sz val="14"/>
      <name val="Arial"/>
      <family val="0"/>
    </font>
    <font>
      <b/>
      <vertAlign val="superscript"/>
      <sz val="14"/>
      <name val="Arial"/>
      <family val="0"/>
    </font>
    <font>
      <b/>
      <vertAlign val="superscript"/>
      <sz val="10"/>
      <name val="Arial"/>
      <family val="0"/>
    </font>
    <font>
      <sz val="10"/>
      <name val="Verdana"/>
      <family val="0"/>
    </font>
    <font>
      <vertAlign val="superscript"/>
      <sz val="10"/>
      <name val="Arial"/>
      <family val="0"/>
    </font>
    <font>
      <vertAlign val="superscript"/>
      <sz val="9"/>
      <name val="Arial"/>
      <family val="0"/>
    </font>
    <font>
      <b/>
      <u val="single"/>
      <sz val="10"/>
      <name val="Arial"/>
      <family val="0"/>
    </font>
    <font>
      <i/>
      <sz val="10"/>
      <name val="Arial"/>
      <family val="0"/>
    </font>
    <font>
      <b/>
      <sz val="12"/>
      <name val="Verdana"/>
      <family val="0"/>
    </font>
    <font>
      <b/>
      <sz val="11"/>
      <name val="Verdana"/>
      <family val="0"/>
    </font>
    <font>
      <sz val="11"/>
      <name val="Verdana"/>
      <family val="0"/>
    </font>
    <font>
      <vertAlign val="superscript"/>
      <sz val="11"/>
      <name val="Verdana"/>
      <family val="0"/>
    </font>
    <font>
      <sz val="10.75"/>
      <name val="Verdana"/>
      <family val="0"/>
    </font>
    <font>
      <b/>
      <sz val="10.75"/>
      <name val="Verdana"/>
      <family val="0"/>
    </font>
    <font>
      <vertAlign val="superscript"/>
      <sz val="10.75"/>
      <name val="Verdana"/>
      <family val="0"/>
    </font>
    <font>
      <b/>
      <sz val="8"/>
      <name val="Arial"/>
      <family val="2"/>
    </font>
  </fonts>
  <fills count="4">
    <fill>
      <patternFill/>
    </fill>
    <fill>
      <patternFill patternType="gray125"/>
    </fill>
    <fill>
      <patternFill patternType="solid">
        <fgColor indexed="23"/>
        <bgColor indexed="64"/>
      </patternFill>
    </fill>
    <fill>
      <patternFill patternType="solid">
        <fgColor indexed="13"/>
        <bgColor indexed="64"/>
      </patternFill>
    </fill>
  </fills>
  <borders count="3">
    <border>
      <left/>
      <right/>
      <top/>
      <bottom/>
      <diagonal/>
    </border>
    <border>
      <left>
        <color indexed="63"/>
      </left>
      <right>
        <color indexed="63"/>
      </right>
      <top>
        <color indexed="63"/>
      </top>
      <bottom style="medium"/>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2" fillId="0" borderId="0" xfId="0" applyFont="1" applyAlignment="1">
      <alignment/>
    </xf>
    <xf numFmtId="0" fontId="0" fillId="0" borderId="0" xfId="0" applyAlignment="1">
      <alignment horizontal="center"/>
    </xf>
    <xf numFmtId="0" fontId="0" fillId="0" borderId="0" xfId="0" applyAlignment="1">
      <alignment horizontal="right"/>
    </xf>
    <xf numFmtId="0" fontId="3" fillId="0" borderId="0" xfId="0" applyFont="1" applyAlignment="1">
      <alignment horizontal="center"/>
    </xf>
    <xf numFmtId="0" fontId="2" fillId="0" borderId="0" xfId="0" applyFont="1" applyAlignment="1">
      <alignment horizontal="right"/>
    </xf>
    <xf numFmtId="167" fontId="0" fillId="0" borderId="0" xfId="0" applyNumberFormat="1" applyAlignment="1">
      <alignment horizontal="center"/>
    </xf>
    <xf numFmtId="0" fontId="2" fillId="0" borderId="0" xfId="0" applyFont="1" applyAlignment="1">
      <alignment horizontal="center" vertical="center" wrapText="1"/>
    </xf>
    <xf numFmtId="10" fontId="0" fillId="0" borderId="0" xfId="0" applyNumberFormat="1" applyAlignment="1">
      <alignment/>
    </xf>
    <xf numFmtId="0" fontId="0" fillId="0" borderId="0" xfId="0" applyAlignment="1">
      <alignment horizontal="center" vertical="center" wrapText="1"/>
    </xf>
    <xf numFmtId="10" fontId="0" fillId="0" borderId="0" xfId="0" applyNumberFormat="1" applyAlignment="1">
      <alignment horizontal="center"/>
    </xf>
    <xf numFmtId="9" fontId="1" fillId="2" borderId="0" xfId="0" applyNumberFormat="1" applyFont="1" applyFill="1" applyAlignment="1">
      <alignment/>
    </xf>
    <xf numFmtId="0" fontId="0" fillId="2" borderId="0" xfId="0" applyFill="1" applyAlignment="1">
      <alignment/>
    </xf>
    <xf numFmtId="0" fontId="1" fillId="2" borderId="0" xfId="0" applyFont="1" applyFill="1" applyAlignment="1">
      <alignment/>
    </xf>
    <xf numFmtId="175" fontId="0" fillId="0" borderId="0" xfId="0" applyNumberFormat="1" applyAlignment="1">
      <alignment/>
    </xf>
    <xf numFmtId="0" fontId="3" fillId="0" borderId="0" xfId="0" applyFont="1" applyAlignment="1">
      <alignment/>
    </xf>
    <xf numFmtId="0" fontId="6" fillId="0" borderId="0" xfId="0" applyFont="1" applyAlignment="1">
      <alignment/>
    </xf>
    <xf numFmtId="10" fontId="6" fillId="0" borderId="0" xfId="0" applyNumberFormat="1" applyFont="1" applyAlignment="1">
      <alignment/>
    </xf>
    <xf numFmtId="0" fontId="0" fillId="0" borderId="0" xfId="15" applyNumberFormat="1" applyAlignment="1">
      <alignment horizontal="center"/>
    </xf>
    <xf numFmtId="16" fontId="3" fillId="0" borderId="0" xfId="0" applyNumberFormat="1" applyFont="1" applyAlignment="1">
      <alignment horizontal="center"/>
    </xf>
    <xf numFmtId="10" fontId="6" fillId="0" borderId="0" xfId="0" applyNumberFormat="1" applyFont="1" applyAlignment="1">
      <alignment horizontal="center"/>
    </xf>
    <xf numFmtId="0" fontId="14" fillId="0" borderId="0" xfId="0" applyFont="1" applyAlignment="1">
      <alignment/>
    </xf>
    <xf numFmtId="0" fontId="3" fillId="0" borderId="0" xfId="0" applyFont="1" applyAlignment="1">
      <alignment/>
    </xf>
    <xf numFmtId="0" fontId="0" fillId="0" borderId="0" xfId="0" applyFont="1" applyAlignment="1">
      <alignment/>
    </xf>
    <xf numFmtId="10" fontId="0" fillId="0" borderId="0" xfId="0" applyNumberFormat="1" applyFont="1" applyAlignment="1">
      <alignment/>
    </xf>
    <xf numFmtId="0" fontId="3" fillId="0" borderId="0" xfId="0" applyFont="1" applyAlignment="1">
      <alignment horizontal="center" vertical="center" wrapText="1"/>
    </xf>
    <xf numFmtId="2" fontId="0" fillId="0" borderId="0" xfId="0" applyNumberFormat="1" applyAlignment="1">
      <alignment/>
    </xf>
    <xf numFmtId="10" fontId="0" fillId="0" borderId="0" xfId="21" applyNumberFormat="1" applyAlignment="1">
      <alignment/>
    </xf>
    <xf numFmtId="0" fontId="0" fillId="0" borderId="0" xfId="0" applyAlignment="1" quotePrefix="1">
      <alignment/>
    </xf>
    <xf numFmtId="2" fontId="3" fillId="0" borderId="0" xfId="0" applyNumberFormat="1" applyFont="1" applyAlignment="1">
      <alignment/>
    </xf>
    <xf numFmtId="0" fontId="3" fillId="0" borderId="0" xfId="0" applyFont="1" applyAlignment="1" quotePrefix="1">
      <alignment/>
    </xf>
    <xf numFmtId="14" fontId="0" fillId="0" borderId="0" xfId="0" applyNumberFormat="1" applyAlignment="1">
      <alignment/>
    </xf>
    <xf numFmtId="0" fontId="3" fillId="3" borderId="0" xfId="0" applyFont="1" applyFill="1" applyAlignment="1">
      <alignment horizontal="center" vertical="center" wrapText="1"/>
    </xf>
    <xf numFmtId="14" fontId="17" fillId="0" borderId="0" xfId="0" applyNumberFormat="1" applyFont="1" applyAlignment="1">
      <alignment horizontal="center"/>
    </xf>
    <xf numFmtId="2" fontId="0" fillId="0" borderId="0" xfId="0" applyNumberFormat="1" applyAlignment="1">
      <alignment horizontal="center"/>
    </xf>
    <xf numFmtId="0" fontId="20" fillId="0" borderId="0" xfId="0" applyFont="1" applyAlignment="1">
      <alignment/>
    </xf>
    <xf numFmtId="0" fontId="3" fillId="3" borderId="0" xfId="0" applyFont="1" applyFill="1" applyAlignment="1">
      <alignment/>
    </xf>
    <xf numFmtId="2" fontId="3" fillId="3" borderId="0" xfId="0" applyNumberFormat="1" applyFont="1" applyFill="1" applyAlignment="1">
      <alignment/>
    </xf>
    <xf numFmtId="0" fontId="0" fillId="3" borderId="0" xfId="0" applyFill="1" applyAlignment="1">
      <alignment/>
    </xf>
    <xf numFmtId="10" fontId="3" fillId="0" borderId="0" xfId="0" applyNumberFormat="1" applyFont="1" applyFill="1" applyAlignment="1">
      <alignment/>
    </xf>
    <xf numFmtId="181" fontId="3" fillId="0" borderId="0" xfId="0" applyNumberFormat="1" applyFont="1" applyAlignment="1">
      <alignment/>
    </xf>
    <xf numFmtId="2" fontId="3" fillId="0" borderId="0" xfId="0" applyNumberFormat="1" applyFont="1" applyFill="1" applyAlignment="1">
      <alignment/>
    </xf>
    <xf numFmtId="0" fontId="0" fillId="0" borderId="0" xfId="0" applyFill="1" applyAlignment="1">
      <alignment/>
    </xf>
    <xf numFmtId="181" fontId="0" fillId="3" borderId="0" xfId="0" applyNumberFormat="1" applyFill="1" applyAlignment="1">
      <alignment/>
    </xf>
    <xf numFmtId="10" fontId="0" fillId="3" borderId="0" xfId="0" applyNumberFormat="1" applyFill="1" applyAlignment="1">
      <alignment/>
    </xf>
    <xf numFmtId="0" fontId="0" fillId="0" borderId="0" xfId="0" applyFill="1" applyBorder="1" applyAlignment="1">
      <alignment/>
    </xf>
    <xf numFmtId="0" fontId="0" fillId="0" borderId="1" xfId="0" applyFill="1" applyBorder="1" applyAlignment="1">
      <alignment/>
    </xf>
    <xf numFmtId="0" fontId="21" fillId="0" borderId="2" xfId="0" applyFont="1" applyFill="1" applyBorder="1" applyAlignment="1">
      <alignment horizontal="center"/>
    </xf>
    <xf numFmtId="0" fontId="21" fillId="0" borderId="2" xfId="0" applyFont="1" applyFill="1" applyBorder="1" applyAlignment="1">
      <alignment horizontal="centerContinuous"/>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Regression on LN(P)</a:t>
            </a:r>
          </a:p>
        </c:rich>
      </c:tx>
      <c:layout/>
      <c:spPr>
        <a:noFill/>
        <a:ln>
          <a:noFill/>
        </a:ln>
      </c:spPr>
    </c:title>
    <c:plotArea>
      <c:layout/>
      <c:scatterChart>
        <c:scatterStyle val="smooth"/>
        <c:varyColors val="0"/>
        <c:ser>
          <c:idx val="0"/>
          <c:order val="0"/>
          <c:tx>
            <c:v>Original Data</c:v>
          </c:tx>
          <c:spPr>
            <a:ln w="254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linear"/>
            <c:dispEq val="1"/>
            <c:dispRSqr val="1"/>
            <c:trendlineLbl>
              <c:layout>
                <c:manualLayout>
                  <c:x val="0"/>
                  <c:y val="0"/>
                </c:manualLayout>
              </c:layout>
              <c:numFmt formatCode="General"/>
            </c:trendlineLbl>
          </c:trendline>
          <c:xVal>
            <c:numRef>
              <c:f>GOOG!$B$6:$B$66</c:f>
              <c:numCache/>
            </c:numRef>
          </c:xVal>
          <c:yVal>
            <c:numRef>
              <c:f>GOOG!$D$6:$D$66</c:f>
              <c:numCache/>
            </c:numRef>
          </c:yVal>
          <c:smooth val="1"/>
        </c:ser>
        <c:ser>
          <c:idx val="1"/>
          <c:order val="1"/>
          <c:tx>
            <c:v>Reconstructed fit</c:v>
          </c:tx>
          <c:spPr>
            <a:ln w="25400">
              <a:solidFill>
                <a:srgbClr val="DD080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GOOG!$B$6:$B$66</c:f>
              <c:numCache/>
            </c:numRef>
          </c:xVal>
          <c:yVal>
            <c:numRef>
              <c:f>GOOG!$E$6:$E$66</c:f>
              <c:numCache/>
            </c:numRef>
          </c:yVal>
          <c:smooth val="1"/>
        </c:ser>
        <c:axId val="7878985"/>
        <c:axId val="3802002"/>
      </c:scatterChart>
      <c:valAx>
        <c:axId val="7878985"/>
        <c:scaling>
          <c:orientation val="minMax"/>
          <c:max val="60"/>
        </c:scaling>
        <c:axPos val="b"/>
        <c:title>
          <c:tx>
            <c:rich>
              <a:bodyPr vert="horz" rot="0" anchor="ctr"/>
              <a:lstStyle/>
              <a:p>
                <a:pPr algn="ctr">
                  <a:defRPr/>
                </a:pPr>
                <a:r>
                  <a:rPr lang="en-US" cap="none" sz="1100" b="1" i="0" u="none" baseline="0"/>
                  <a:t>Time (months since 08/2004)</a:t>
                </a:r>
              </a:p>
            </c:rich>
          </c:tx>
          <c:layout/>
          <c:overlay val="0"/>
          <c:spPr>
            <a:noFill/>
            <a:ln>
              <a:noFill/>
            </a:ln>
          </c:spPr>
        </c:title>
        <c:delete val="0"/>
        <c:numFmt formatCode="General" sourceLinked="1"/>
        <c:majorTickMark val="out"/>
        <c:minorTickMark val="none"/>
        <c:tickLblPos val="nextTo"/>
        <c:crossAx val="3802002"/>
        <c:crosses val="autoZero"/>
        <c:crossBetween val="midCat"/>
        <c:dispUnits/>
      </c:valAx>
      <c:valAx>
        <c:axId val="3802002"/>
        <c:scaling>
          <c:orientation val="minMax"/>
        </c:scaling>
        <c:axPos val="l"/>
        <c:title>
          <c:tx>
            <c:rich>
              <a:bodyPr vert="horz" rot="-5400000" anchor="ctr"/>
              <a:lstStyle/>
              <a:p>
                <a:pPr algn="ctr">
                  <a:defRPr/>
                </a:pPr>
                <a:r>
                  <a:rPr lang="en-US" cap="none" sz="1100" b="1" i="0" u="none" baseline="0"/>
                  <a:t>LN(P)</a:t>
                </a:r>
              </a:p>
            </c:rich>
          </c:tx>
          <c:layout/>
          <c:overlay val="0"/>
          <c:spPr>
            <a:noFill/>
            <a:ln>
              <a:noFill/>
            </a:ln>
          </c:spPr>
        </c:title>
        <c:majorGridlines/>
        <c:delete val="0"/>
        <c:numFmt formatCode="General" sourceLinked="1"/>
        <c:majorTickMark val="out"/>
        <c:minorTickMark val="none"/>
        <c:tickLblPos val="nextTo"/>
        <c:crossAx val="7878985"/>
        <c:crosses val="autoZero"/>
        <c:crossBetween val="midCat"/>
        <c:dispUnits/>
      </c:valAx>
      <c:spPr>
        <a:noFill/>
        <a:ln w="12700">
          <a:solidFill>
            <a:srgbClr val="808080"/>
          </a:solidFill>
        </a:ln>
      </c:spPr>
    </c:plotArea>
    <c:legend>
      <c:legendPos val="b"/>
      <c:layout/>
      <c:overlay val="0"/>
      <c:spPr>
        <a:ln w="3175">
          <a:noFill/>
        </a:ln>
      </c:spPr>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tx>
            <c:v>Original Data</c:v>
          </c:tx>
          <c:spPr>
            <a:ln w="254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exp"/>
            <c:dispEq val="1"/>
            <c:dispRSqr val="1"/>
            <c:trendlineLbl>
              <c:layout>
                <c:manualLayout>
                  <c:x val="0"/>
                  <c:y val="0"/>
                </c:manualLayout>
              </c:layout>
              <c:numFmt formatCode="General"/>
            </c:trendlineLbl>
          </c:trendline>
          <c:xVal>
            <c:numRef>
              <c:f>GOOG!$B$6:$B$66</c:f>
              <c:numCache/>
            </c:numRef>
          </c:xVal>
          <c:yVal>
            <c:numRef>
              <c:f>GOOG!$C$6:$C$66</c:f>
              <c:numCache/>
            </c:numRef>
          </c:yVal>
          <c:smooth val="1"/>
        </c:ser>
        <c:ser>
          <c:idx val="1"/>
          <c:order val="1"/>
          <c:tx>
            <c:v>Reconstructed fit (0-60 months data)</c:v>
          </c:tx>
          <c:spPr>
            <a:ln w="25400">
              <a:solidFill>
                <a:srgbClr val="FF00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GOOG!$B$6:$B$66</c:f>
              <c:numCache/>
            </c:numRef>
          </c:xVal>
          <c:yVal>
            <c:numRef>
              <c:f>GOOG!$G$6:$G$66</c:f>
              <c:numCache/>
            </c:numRef>
          </c:yVal>
          <c:smooth val="1"/>
        </c:ser>
        <c:axId val="34218019"/>
        <c:axId val="39526716"/>
      </c:scatterChart>
      <c:valAx>
        <c:axId val="34218019"/>
        <c:scaling>
          <c:orientation val="minMax"/>
          <c:max val="60"/>
        </c:scaling>
        <c:axPos val="b"/>
        <c:title>
          <c:tx>
            <c:rich>
              <a:bodyPr vert="horz" rot="0" anchor="ctr"/>
              <a:lstStyle/>
              <a:p>
                <a:pPr algn="ctr">
                  <a:defRPr/>
                </a:pPr>
                <a:r>
                  <a:rPr lang="en-US" cap="none" sz="1075" b="1" i="0" u="none" baseline="0"/>
                  <a:t>Time (months starting 08/2004)</a:t>
                </a:r>
              </a:p>
            </c:rich>
          </c:tx>
          <c:layout/>
          <c:overlay val="0"/>
          <c:spPr>
            <a:noFill/>
            <a:ln>
              <a:noFill/>
            </a:ln>
          </c:spPr>
        </c:title>
        <c:delete val="0"/>
        <c:numFmt formatCode="General" sourceLinked="1"/>
        <c:majorTickMark val="out"/>
        <c:minorTickMark val="none"/>
        <c:tickLblPos val="nextTo"/>
        <c:crossAx val="39526716"/>
        <c:crosses val="autoZero"/>
        <c:crossBetween val="midCat"/>
        <c:dispUnits/>
      </c:valAx>
      <c:valAx>
        <c:axId val="39526716"/>
        <c:scaling>
          <c:orientation val="minMax"/>
          <c:max val="750"/>
          <c:min val="0"/>
        </c:scaling>
        <c:axPos val="l"/>
        <c:title>
          <c:tx>
            <c:rich>
              <a:bodyPr vert="horz" rot="-5400000" anchor="ctr"/>
              <a:lstStyle/>
              <a:p>
                <a:pPr algn="ctr">
                  <a:defRPr/>
                </a:pPr>
                <a:r>
                  <a:rPr lang="en-US" cap="none" sz="1075" b="1" i="0" u="none" baseline="0"/>
                  <a:t>Price ($)</a:t>
                </a:r>
              </a:p>
            </c:rich>
          </c:tx>
          <c:layout/>
          <c:overlay val="0"/>
          <c:spPr>
            <a:noFill/>
            <a:ln>
              <a:noFill/>
            </a:ln>
          </c:spPr>
        </c:title>
        <c:majorGridlines/>
        <c:delete val="0"/>
        <c:numFmt formatCode="General" sourceLinked="1"/>
        <c:majorTickMark val="out"/>
        <c:minorTickMark val="none"/>
        <c:tickLblPos val="nextTo"/>
        <c:crossAx val="34218019"/>
        <c:crosses val="autoZero"/>
        <c:crossBetween val="midCat"/>
        <c:dispUnits/>
      </c:valAx>
      <c:spPr>
        <a:noFill/>
        <a:ln w="12700">
          <a:solidFill>
            <a:srgbClr val="808080"/>
          </a:solidFill>
        </a:ln>
      </c:spPr>
    </c:plotArea>
    <c:legend>
      <c:legendPos val="b"/>
      <c:layout/>
      <c:overlay val="0"/>
      <c:spPr>
        <a:ln w="3175">
          <a:noFill/>
        </a:ln>
      </c:spPr>
    </c:legend>
    <c:plotVisOnly val="1"/>
    <c:dispBlanksAs val="gap"/>
    <c:showDLblsOverMax val="0"/>
  </c:chart>
  <c:txPr>
    <a:bodyPr vert="horz" rot="0"/>
    <a:lstStyle/>
    <a:p>
      <a:pPr>
        <a:defRPr lang="en-US" cap="none" sz="107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latin typeface="Arial"/>
                <a:ea typeface="Arial"/>
                <a:cs typeface="Arial"/>
              </a:rPr>
              <a:t>Google Stock Price Simulation</a:t>
            </a:r>
          </a:p>
        </c:rich>
      </c:tx>
      <c:layout/>
      <c:spPr>
        <a:noFill/>
        <a:ln>
          <a:noFill/>
        </a:ln>
      </c:spPr>
    </c:title>
    <c:plotArea>
      <c:layout/>
      <c:lineChart>
        <c:grouping val="standard"/>
        <c:varyColors val="0"/>
        <c:ser>
          <c:idx val="0"/>
          <c:order val="0"/>
          <c:tx>
            <c:strRef>
              <c:f>'GOOG forecast'!$B$1</c:f>
              <c:strCache>
                <c:ptCount val="1"/>
                <c:pt idx="0">
                  <c:v>Stock Price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'GOOG forecast'!$A$2:$A$13</c:f>
              <c:strCache/>
            </c:strRef>
          </c:cat>
          <c:val>
            <c:numRef>
              <c:f>'GOOG forecast'!$B$2:$B$13</c:f>
              <c:numCache>
                <c:ptCount val="12"/>
                <c:pt idx="0">
                  <c:v>461.67</c:v>
                </c:pt>
                <c:pt idx="1">
                  <c:v>494.31842217075774</c:v>
                </c:pt>
                <c:pt idx="2">
                  <c:v>475.1662018840677</c:v>
                </c:pt>
                <c:pt idx="3">
                  <c:v>555.3809301076067</c:v>
                </c:pt>
                <c:pt idx="4">
                  <c:v>445.2494662544341</c:v>
                </c:pt>
                <c:pt idx="5">
                  <c:v>427.6875960478979</c:v>
                </c:pt>
                <c:pt idx="6">
                  <c:v>417.5846602566249</c:v>
                </c:pt>
                <c:pt idx="7">
                  <c:v>205.2043907253745</c:v>
                </c:pt>
                <c:pt idx="8">
                  <c:v>277.28560994509553</c:v>
                </c:pt>
                <c:pt idx="9">
                  <c:v>211.10006349933184</c:v>
                </c:pt>
                <c:pt idx="10">
                  <c:v>175.5531365451575</c:v>
                </c:pt>
                <c:pt idx="11">
                  <c:v>257.57193244630383</c:v>
                </c:pt>
              </c:numCache>
            </c:numRef>
          </c:val>
          <c:smooth val="0"/>
        </c:ser>
        <c:marker val="1"/>
        <c:axId val="20196125"/>
        <c:axId val="47547398"/>
      </c:lineChart>
      <c:catAx>
        <c:axId val="20196125"/>
        <c:scaling>
          <c:orientation val="minMax"/>
        </c:scaling>
        <c:axPos val="b"/>
        <c:delete val="0"/>
        <c:numFmt formatCode="General" sourceLinked="1"/>
        <c:majorTickMark val="out"/>
        <c:minorTickMark val="none"/>
        <c:tickLblPos val="nextTo"/>
        <c:crossAx val="47547398"/>
        <c:crosses val="autoZero"/>
        <c:auto val="1"/>
        <c:lblOffset val="100"/>
        <c:noMultiLvlLbl val="0"/>
      </c:catAx>
      <c:valAx>
        <c:axId val="47547398"/>
        <c:scaling>
          <c:orientation val="minMax"/>
        </c:scaling>
        <c:axPos val="l"/>
        <c:majorGridlines/>
        <c:delete val="0"/>
        <c:numFmt formatCode="General" sourceLinked="1"/>
        <c:majorTickMark val="out"/>
        <c:minorTickMark val="none"/>
        <c:tickLblPos val="nextTo"/>
        <c:crossAx val="2019612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Interest rate Simulation</a:t>
            </a:r>
          </a:p>
        </c:rich>
      </c:tx>
      <c:layout/>
      <c:spPr>
        <a:noFill/>
        <a:ln>
          <a:noFill/>
        </a:ln>
      </c:spPr>
    </c:title>
    <c:plotArea>
      <c:layout/>
      <c:scatterChart>
        <c:scatterStyle val="smoothMarker"/>
        <c:varyColors val="0"/>
        <c:ser>
          <c:idx val="0"/>
          <c:order val="0"/>
          <c:tx>
            <c:strRef>
              <c:f>'Interest Rates'!$B$1</c:f>
              <c:strCache>
                <c:ptCount val="1"/>
                <c:pt idx="0">
                  <c:v>Interest rate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'Interest Rates'!$A$2:$A$12</c:f>
              <c:numCache/>
            </c:numRef>
          </c:xVal>
          <c:yVal>
            <c:numRef>
              <c:f>'Interest Rates'!$B$2:$B$12</c:f>
              <c:numCache>
                <c:ptCount val="11"/>
                <c:pt idx="0">
                  <c:v>0.0425</c:v>
                </c:pt>
                <c:pt idx="1">
                  <c:v>0.045261870889005795</c:v>
                </c:pt>
                <c:pt idx="2">
                  <c:v>0.07085914571091599</c:v>
                </c:pt>
                <c:pt idx="3">
                  <c:v>0.08343824968359462</c:v>
                </c:pt>
                <c:pt idx="4">
                  <c:v>0.10224059925048987</c:v>
                </c:pt>
                <c:pt idx="5">
                  <c:v>0.08596979618021545</c:v>
                </c:pt>
                <c:pt idx="6">
                  <c:v>0.09760912725779627</c:v>
                </c:pt>
                <c:pt idx="7">
                  <c:v>0.08644802717099459</c:v>
                </c:pt>
                <c:pt idx="8">
                  <c:v>0.05589354503054991</c:v>
                </c:pt>
                <c:pt idx="9">
                  <c:v>0.04767697889253408</c:v>
                </c:pt>
                <c:pt idx="10">
                  <c:v>0.052260914566902045</c:v>
                </c:pt>
              </c:numCache>
            </c:numRef>
          </c:yVal>
          <c:smooth val="1"/>
        </c:ser>
        <c:axId val="25273399"/>
        <c:axId val="26134000"/>
      </c:scatterChart>
      <c:valAx>
        <c:axId val="25273399"/>
        <c:scaling>
          <c:orientation val="minMax"/>
        </c:scaling>
        <c:axPos val="b"/>
        <c:delete val="0"/>
        <c:numFmt formatCode="General" sourceLinked="1"/>
        <c:majorTickMark val="out"/>
        <c:minorTickMark val="none"/>
        <c:tickLblPos val="low"/>
        <c:crossAx val="26134000"/>
        <c:crosses val="autoZero"/>
        <c:crossBetween val="midCat"/>
        <c:dispUnits/>
      </c:valAx>
      <c:valAx>
        <c:axId val="26134000"/>
        <c:scaling>
          <c:orientation val="minMax"/>
        </c:scaling>
        <c:axPos val="l"/>
        <c:majorGridlines/>
        <c:delete val="0"/>
        <c:numFmt formatCode="General" sourceLinked="1"/>
        <c:majorTickMark val="out"/>
        <c:minorTickMark val="none"/>
        <c:tickLblPos val="nextTo"/>
        <c:crossAx val="2527339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S-curve simulation</a:t>
            </a:r>
          </a:p>
        </c:rich>
      </c:tx>
      <c:layout/>
      <c:spPr>
        <a:noFill/>
        <a:ln>
          <a:noFill/>
        </a:ln>
      </c:spPr>
    </c:title>
    <c:plotArea>
      <c:layout/>
      <c:scatterChart>
        <c:scatterStyle val="smooth"/>
        <c:varyColors val="0"/>
        <c:ser>
          <c:idx val="0"/>
          <c:order val="0"/>
          <c:tx>
            <c:v>with uncertainty</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'S-curve'!$B$25:$B$48</c:f>
              <c:numCache/>
            </c:numRef>
          </c:xVal>
          <c:yVal>
            <c:numRef>
              <c:f>'S-curve'!$G$25:$G$48</c:f>
              <c:numCache>
                <c:ptCount val="24"/>
                <c:pt idx="0">
                  <c:v>87.48929929063888</c:v>
                </c:pt>
                <c:pt idx="1">
                  <c:v>245.3360181452071</c:v>
                </c:pt>
                <c:pt idx="2">
                  <c:v>541.5513582706378</c:v>
                </c:pt>
                <c:pt idx="3">
                  <c:v>978.1598101546278</c:v>
                </c:pt>
                <c:pt idx="4">
                  <c:v>1266.8235371549458</c:v>
                </c:pt>
                <c:pt idx="5">
                  <c:v>1242.4651895851096</c:v>
                </c:pt>
                <c:pt idx="6">
                  <c:v>1375.19965304771</c:v>
                </c:pt>
                <c:pt idx="7">
                  <c:v>1197.3129797491918</c:v>
                </c:pt>
                <c:pt idx="8">
                  <c:v>1441.5606513374655</c:v>
                </c:pt>
                <c:pt idx="9">
                  <c:v>1569.8472455571932</c:v>
                </c:pt>
                <c:pt idx="10">
                  <c:v>1172.4603943757595</c:v>
                </c:pt>
                <c:pt idx="11">
                  <c:v>1320.2167940116308</c:v>
                </c:pt>
                <c:pt idx="12">
                  <c:v>1524.026535742061</c:v>
                </c:pt>
                <c:pt idx="13">
                  <c:v>1534.5899191024455</c:v>
                </c:pt>
                <c:pt idx="14">
                  <c:v>1423.7720831076763</c:v>
                </c:pt>
                <c:pt idx="15">
                  <c:v>1614.215413392403</c:v>
                </c:pt>
                <c:pt idx="16">
                  <c:v>1351.3279591831358</c:v>
                </c:pt>
                <c:pt idx="17">
                  <c:v>1452.197542422343</c:v>
                </c:pt>
                <c:pt idx="18">
                  <c:v>1442.3303222315274</c:v>
                </c:pt>
                <c:pt idx="19">
                  <c:v>1425.4970606415604</c:v>
                </c:pt>
                <c:pt idx="20">
                  <c:v>1451.5120402520324</c:v>
                </c:pt>
                <c:pt idx="21">
                  <c:v>1628.1128139971722</c:v>
                </c:pt>
                <c:pt idx="22">
                  <c:v>1373.7613051128178</c:v>
                </c:pt>
                <c:pt idx="23">
                  <c:v>1342.6257797874548</c:v>
                </c:pt>
              </c:numCache>
            </c:numRef>
          </c:yVal>
          <c:smooth val="1"/>
        </c:ser>
        <c:ser>
          <c:idx val="1"/>
          <c:order val="1"/>
          <c:tx>
            <c:v>deterministic</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'S-curve'!$B$25:$B$48</c:f>
              <c:numCache/>
            </c:numRef>
          </c:xVal>
          <c:yVal>
            <c:numRef>
              <c:f>'S-curve'!$H$25:$H$48</c:f>
              <c:numCache/>
            </c:numRef>
          </c:yVal>
          <c:smooth val="1"/>
        </c:ser>
        <c:axId val="33879409"/>
        <c:axId val="36479226"/>
      </c:scatterChart>
      <c:valAx>
        <c:axId val="33879409"/>
        <c:scaling>
          <c:orientation val="minMax"/>
        </c:scaling>
        <c:axPos val="b"/>
        <c:title>
          <c:tx>
            <c:rich>
              <a:bodyPr vert="horz" rot="0" anchor="ctr"/>
              <a:lstStyle/>
              <a:p>
                <a:pPr algn="ctr">
                  <a:defRPr/>
                </a:pPr>
                <a:r>
                  <a:rPr lang="en-US" cap="none" sz="9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6479226"/>
        <c:crosses val="autoZero"/>
        <c:crossBetween val="midCat"/>
        <c:dispUnits/>
      </c:valAx>
      <c:valAx>
        <c:axId val="36479226"/>
        <c:scaling>
          <c:orientation val="minMax"/>
        </c:scaling>
        <c:axPos val="l"/>
        <c:title>
          <c:tx>
            <c:rich>
              <a:bodyPr vert="horz" rot="-5400000" anchor="ctr"/>
              <a:lstStyle/>
              <a:p>
                <a:pPr algn="ctr">
                  <a:defRPr/>
                </a:pPr>
                <a:r>
                  <a:rPr lang="en-US" cap="none" sz="900" b="1" i="0" u="none" baseline="0">
                    <a:latin typeface="Arial"/>
                    <a:ea typeface="Arial"/>
                    <a:cs typeface="Arial"/>
                  </a:rPr>
                  <a:t>Demand</a:t>
                </a:r>
              </a:p>
            </c:rich>
          </c:tx>
          <c:layout/>
          <c:overlay val="0"/>
          <c:spPr>
            <a:noFill/>
            <a:ln>
              <a:noFill/>
            </a:ln>
          </c:spPr>
        </c:title>
        <c:majorGridlines/>
        <c:delete val="0"/>
        <c:numFmt formatCode="General" sourceLinked="1"/>
        <c:majorTickMark val="out"/>
        <c:minorTickMark val="none"/>
        <c:tickLblPos val="nextTo"/>
        <c:crossAx val="33879409"/>
        <c:crosses val="autoZero"/>
        <c:crossBetween val="midCat"/>
        <c:dispUnits/>
      </c:valAx>
      <c:spPr>
        <a:noFill/>
        <a:ln w="12700">
          <a:solidFill>
            <a:srgbClr val="808080"/>
          </a:solidFill>
        </a:ln>
      </c:spPr>
    </c:plotArea>
    <c:legend>
      <c:legendPos val="b"/>
      <c:layout/>
      <c:overlay val="0"/>
      <c:spPr>
        <a:ln w="3175">
          <a:noFill/>
        </a:ln>
      </c:sp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190500</xdr:colOff>
      <xdr:row>31</xdr:row>
      <xdr:rowOff>0</xdr:rowOff>
    </xdr:from>
    <xdr:to>
      <xdr:col>16</xdr:col>
      <xdr:colOff>333375</xdr:colOff>
      <xdr:row>56</xdr:row>
      <xdr:rowOff>38100</xdr:rowOff>
    </xdr:to>
    <xdr:graphicFrame>
      <xdr:nvGraphicFramePr>
        <xdr:cNvPr id="1" name="Chart 1"/>
        <xdr:cNvGraphicFramePr/>
      </xdr:nvGraphicFramePr>
      <xdr:xfrm>
        <a:off x="7400925" y="5829300"/>
        <a:ext cx="5953125" cy="4086225"/>
      </xdr:xfrm>
      <a:graphic>
        <a:graphicData uri="http://schemas.openxmlformats.org/drawingml/2006/chart">
          <c:chart xmlns:c="http://schemas.openxmlformats.org/drawingml/2006/chart" r:id="rId1"/>
        </a:graphicData>
      </a:graphic>
    </xdr:graphicFrame>
    <xdr:clientData/>
  </xdr:twoCellAnchor>
  <xdr:twoCellAnchor>
    <xdr:from>
      <xdr:col>8</xdr:col>
      <xdr:colOff>190500</xdr:colOff>
      <xdr:row>4</xdr:row>
      <xdr:rowOff>200025</xdr:rowOff>
    </xdr:from>
    <xdr:to>
      <xdr:col>16</xdr:col>
      <xdr:colOff>333375</xdr:colOff>
      <xdr:row>27</xdr:row>
      <xdr:rowOff>152400</xdr:rowOff>
    </xdr:to>
    <xdr:graphicFrame>
      <xdr:nvGraphicFramePr>
        <xdr:cNvPr id="2" name="Chart 2"/>
        <xdr:cNvGraphicFramePr/>
      </xdr:nvGraphicFramePr>
      <xdr:xfrm>
        <a:off x="7400925" y="1095375"/>
        <a:ext cx="5953125" cy="4238625"/>
      </xdr:xfrm>
      <a:graphic>
        <a:graphicData uri="http://schemas.openxmlformats.org/drawingml/2006/chart">
          <c:chart xmlns:c="http://schemas.openxmlformats.org/drawingml/2006/chart" r:id="rId2"/>
        </a:graphicData>
      </a:graphic>
    </xdr:graphicFrame>
    <xdr:clientData/>
  </xdr:twoCellAnchor>
  <xdr:twoCellAnchor>
    <xdr:from>
      <xdr:col>13</xdr:col>
      <xdr:colOff>152400</xdr:colOff>
      <xdr:row>13</xdr:row>
      <xdr:rowOff>66675</xdr:rowOff>
    </xdr:from>
    <xdr:to>
      <xdr:col>13</xdr:col>
      <xdr:colOff>409575</xdr:colOff>
      <xdr:row>17</xdr:row>
      <xdr:rowOff>0</xdr:rowOff>
    </xdr:to>
    <xdr:sp>
      <xdr:nvSpPr>
        <xdr:cNvPr id="3" name="Line 9"/>
        <xdr:cNvSpPr>
          <a:spLocks/>
        </xdr:cNvSpPr>
      </xdr:nvSpPr>
      <xdr:spPr>
        <a:xfrm flipH="1" flipV="1">
          <a:off x="10925175" y="2981325"/>
          <a:ext cx="257175"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247650</xdr:colOff>
      <xdr:row>16</xdr:row>
      <xdr:rowOff>133350</xdr:rowOff>
    </xdr:from>
    <xdr:to>
      <xdr:col>15</xdr:col>
      <xdr:colOff>561975</xdr:colOff>
      <xdr:row>19</xdr:row>
      <xdr:rowOff>0</xdr:rowOff>
    </xdr:to>
    <xdr:sp>
      <xdr:nvSpPr>
        <xdr:cNvPr id="4" name="TextBox 10"/>
        <xdr:cNvSpPr txBox="1">
          <a:spLocks noChangeArrowheads="1"/>
        </xdr:cNvSpPr>
      </xdr:nvSpPr>
      <xdr:spPr>
        <a:xfrm>
          <a:off x="10544175" y="3533775"/>
          <a:ext cx="2276475" cy="3524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Reconstructed curve from regression results "a" and "r" (0-60 months)</a:t>
          </a:r>
        </a:p>
      </xdr:txBody>
    </xdr:sp>
    <xdr:clientData/>
  </xdr:twoCellAnchor>
  <xdr:twoCellAnchor>
    <xdr:from>
      <xdr:col>9</xdr:col>
      <xdr:colOff>419100</xdr:colOff>
      <xdr:row>8</xdr:row>
      <xdr:rowOff>38100</xdr:rowOff>
    </xdr:from>
    <xdr:to>
      <xdr:col>10</xdr:col>
      <xdr:colOff>66675</xdr:colOff>
      <xdr:row>15</xdr:row>
      <xdr:rowOff>114300</xdr:rowOff>
    </xdr:to>
    <xdr:sp>
      <xdr:nvSpPr>
        <xdr:cNvPr id="5" name="Line 11"/>
        <xdr:cNvSpPr>
          <a:spLocks/>
        </xdr:cNvSpPr>
      </xdr:nvSpPr>
      <xdr:spPr>
        <a:xfrm flipH="1">
          <a:off x="8810625" y="2143125"/>
          <a:ext cx="342900" cy="1209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4</xdr:row>
      <xdr:rowOff>704850</xdr:rowOff>
    </xdr:from>
    <xdr:to>
      <xdr:col>12</xdr:col>
      <xdr:colOff>152400</xdr:colOff>
      <xdr:row>8</xdr:row>
      <xdr:rowOff>38100</xdr:rowOff>
    </xdr:to>
    <xdr:sp>
      <xdr:nvSpPr>
        <xdr:cNvPr id="6" name="TextBox 12"/>
        <xdr:cNvSpPr txBox="1">
          <a:spLocks noChangeArrowheads="1"/>
        </xdr:cNvSpPr>
      </xdr:nvSpPr>
      <xdr:spPr>
        <a:xfrm>
          <a:off x="8743950" y="1600200"/>
          <a:ext cx="1704975" cy="5429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Fitted curve obtained from Excel "Add Trendline" function (0-60 months)</a:t>
          </a:r>
        </a:p>
      </xdr:txBody>
    </xdr:sp>
    <xdr:clientData/>
  </xdr:twoCellAnchor>
  <xdr:twoCellAnchor>
    <xdr:from>
      <xdr:col>10</xdr:col>
      <xdr:colOff>485775</xdr:colOff>
      <xdr:row>13</xdr:row>
      <xdr:rowOff>0</xdr:rowOff>
    </xdr:from>
    <xdr:to>
      <xdr:col>11</xdr:col>
      <xdr:colOff>47625</xdr:colOff>
      <xdr:row>20</xdr:row>
      <xdr:rowOff>76200</xdr:rowOff>
    </xdr:to>
    <xdr:sp>
      <xdr:nvSpPr>
        <xdr:cNvPr id="7" name="Line 13"/>
        <xdr:cNvSpPr>
          <a:spLocks/>
        </xdr:cNvSpPr>
      </xdr:nvSpPr>
      <xdr:spPr>
        <a:xfrm flipH="1" flipV="1">
          <a:off x="9572625" y="2914650"/>
          <a:ext cx="390525" cy="1209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666750</xdr:colOff>
      <xdr:row>19</xdr:row>
      <xdr:rowOff>152400</xdr:rowOff>
    </xdr:from>
    <xdr:to>
      <xdr:col>13</xdr:col>
      <xdr:colOff>142875</xdr:colOff>
      <xdr:row>21</xdr:row>
      <xdr:rowOff>28575</xdr:rowOff>
    </xdr:to>
    <xdr:sp>
      <xdr:nvSpPr>
        <xdr:cNvPr id="8" name="TextBox 14"/>
        <xdr:cNvSpPr txBox="1">
          <a:spLocks noChangeArrowheads="1"/>
        </xdr:cNvSpPr>
      </xdr:nvSpPr>
      <xdr:spPr>
        <a:xfrm>
          <a:off x="9058275" y="4038600"/>
          <a:ext cx="1857375" cy="2000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Original price data (0-60 months)</a:t>
          </a:r>
        </a:p>
      </xdr:txBody>
    </xdr:sp>
    <xdr:clientData/>
  </xdr:twoCellAnchor>
  <xdr:twoCellAnchor>
    <xdr:from>
      <xdr:col>10</xdr:col>
      <xdr:colOff>561975</xdr:colOff>
      <xdr:row>37</xdr:row>
      <xdr:rowOff>76200</xdr:rowOff>
    </xdr:from>
    <xdr:to>
      <xdr:col>11</xdr:col>
      <xdr:colOff>323850</xdr:colOff>
      <xdr:row>42</xdr:row>
      <xdr:rowOff>38100</xdr:rowOff>
    </xdr:to>
    <xdr:sp>
      <xdr:nvSpPr>
        <xdr:cNvPr id="9" name="Line 15"/>
        <xdr:cNvSpPr>
          <a:spLocks/>
        </xdr:cNvSpPr>
      </xdr:nvSpPr>
      <xdr:spPr>
        <a:xfrm flipH="1" flipV="1">
          <a:off x="9648825" y="6877050"/>
          <a:ext cx="590550"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152400</xdr:colOff>
      <xdr:row>42</xdr:row>
      <xdr:rowOff>28575</xdr:rowOff>
    </xdr:from>
    <xdr:to>
      <xdr:col>13</xdr:col>
      <xdr:colOff>57150</xdr:colOff>
      <xdr:row>43</xdr:row>
      <xdr:rowOff>95250</xdr:rowOff>
    </xdr:to>
    <xdr:sp>
      <xdr:nvSpPr>
        <xdr:cNvPr id="10" name="TextBox 16"/>
        <xdr:cNvSpPr txBox="1">
          <a:spLocks noChangeArrowheads="1"/>
        </xdr:cNvSpPr>
      </xdr:nvSpPr>
      <xdr:spPr>
        <a:xfrm>
          <a:off x="9239250" y="7639050"/>
          <a:ext cx="1590675" cy="22860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LN(P) data</a:t>
          </a:r>
        </a:p>
      </xdr:txBody>
    </xdr:sp>
    <xdr:clientData/>
  </xdr:twoCellAnchor>
  <xdr:twoCellAnchor>
    <xdr:from>
      <xdr:col>9</xdr:col>
      <xdr:colOff>581025</xdr:colOff>
      <xdr:row>38</xdr:row>
      <xdr:rowOff>76200</xdr:rowOff>
    </xdr:from>
    <xdr:to>
      <xdr:col>9</xdr:col>
      <xdr:colOff>619125</xdr:colOff>
      <xdr:row>44</xdr:row>
      <xdr:rowOff>28575</xdr:rowOff>
    </xdr:to>
    <xdr:sp>
      <xdr:nvSpPr>
        <xdr:cNvPr id="11" name="Line 17"/>
        <xdr:cNvSpPr>
          <a:spLocks/>
        </xdr:cNvSpPr>
      </xdr:nvSpPr>
      <xdr:spPr>
        <a:xfrm flipV="1">
          <a:off x="8972550" y="7038975"/>
          <a:ext cx="28575"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1114425</xdr:colOff>
      <xdr:row>44</xdr:row>
      <xdr:rowOff>66675</xdr:rowOff>
    </xdr:from>
    <xdr:to>
      <xdr:col>11</xdr:col>
      <xdr:colOff>257175</xdr:colOff>
      <xdr:row>46</xdr:row>
      <xdr:rowOff>76200</xdr:rowOff>
    </xdr:to>
    <xdr:sp>
      <xdr:nvSpPr>
        <xdr:cNvPr id="12" name="TextBox 18"/>
        <xdr:cNvSpPr txBox="1">
          <a:spLocks noChangeArrowheads="1"/>
        </xdr:cNvSpPr>
      </xdr:nvSpPr>
      <xdr:spPr>
        <a:xfrm>
          <a:off x="8324850" y="8001000"/>
          <a:ext cx="1847850" cy="3333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Regression obtained from Excel "Add Trendline" function</a:t>
          </a:r>
        </a:p>
      </xdr:txBody>
    </xdr:sp>
    <xdr:clientData/>
  </xdr:twoCellAnchor>
  <xdr:twoCellAnchor>
    <xdr:from>
      <xdr:col>12</xdr:col>
      <xdr:colOff>400050</xdr:colOff>
      <xdr:row>38</xdr:row>
      <xdr:rowOff>9525</xdr:rowOff>
    </xdr:from>
    <xdr:to>
      <xdr:col>13</xdr:col>
      <xdr:colOff>266700</xdr:colOff>
      <xdr:row>40</xdr:row>
      <xdr:rowOff>28575</xdr:rowOff>
    </xdr:to>
    <xdr:sp>
      <xdr:nvSpPr>
        <xdr:cNvPr id="13" name="Line 23"/>
        <xdr:cNvSpPr>
          <a:spLocks/>
        </xdr:cNvSpPr>
      </xdr:nvSpPr>
      <xdr:spPr>
        <a:xfrm flipH="1" flipV="1">
          <a:off x="10696575" y="6972300"/>
          <a:ext cx="34290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114300</xdr:colOff>
      <xdr:row>40</xdr:row>
      <xdr:rowOff>0</xdr:rowOff>
    </xdr:from>
    <xdr:to>
      <xdr:col>14</xdr:col>
      <xdr:colOff>552450</xdr:colOff>
      <xdr:row>42</xdr:row>
      <xdr:rowOff>28575</xdr:rowOff>
    </xdr:to>
    <xdr:sp>
      <xdr:nvSpPr>
        <xdr:cNvPr id="14" name="TextBox 24"/>
        <xdr:cNvSpPr txBox="1">
          <a:spLocks noChangeArrowheads="1"/>
        </xdr:cNvSpPr>
      </xdr:nvSpPr>
      <xdr:spPr>
        <a:xfrm>
          <a:off x="10410825" y="7286625"/>
          <a:ext cx="1743075" cy="3524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Reconstructed curve from regression results "a" and "r"</a:t>
          </a:r>
        </a:p>
      </xdr:txBody>
    </xdr:sp>
    <xdr:clientData/>
  </xdr:twoCellAnchor>
  <xdr:twoCellAnchor editAs="oneCell">
    <xdr:from>
      <xdr:col>0</xdr:col>
      <xdr:colOff>0</xdr:colOff>
      <xdr:row>99</xdr:row>
      <xdr:rowOff>0</xdr:rowOff>
    </xdr:from>
    <xdr:to>
      <xdr:col>4</xdr:col>
      <xdr:colOff>828675</xdr:colOff>
      <xdr:row>116</xdr:row>
      <xdr:rowOff>123825</xdr:rowOff>
    </xdr:to>
    <xdr:pic>
      <xdr:nvPicPr>
        <xdr:cNvPr id="15" name="Picture 37"/>
        <xdr:cNvPicPr preferRelativeResize="1">
          <a:picLocks noChangeAspect="1"/>
        </xdr:cNvPicPr>
      </xdr:nvPicPr>
      <xdr:blipFill>
        <a:blip r:embed="rId3"/>
        <a:stretch>
          <a:fillRect/>
        </a:stretch>
      </xdr:blipFill>
      <xdr:spPr>
        <a:xfrm>
          <a:off x="0" y="16935450"/>
          <a:ext cx="3629025" cy="2876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13</xdr:row>
      <xdr:rowOff>104775</xdr:rowOff>
    </xdr:from>
    <xdr:to>
      <xdr:col>3</xdr:col>
      <xdr:colOff>2019300</xdr:colOff>
      <xdr:row>38</xdr:row>
      <xdr:rowOff>152400</xdr:rowOff>
    </xdr:to>
    <xdr:graphicFrame>
      <xdr:nvGraphicFramePr>
        <xdr:cNvPr id="1" name="Chart 2"/>
        <xdr:cNvGraphicFramePr/>
      </xdr:nvGraphicFramePr>
      <xdr:xfrm>
        <a:off x="38100" y="2286000"/>
        <a:ext cx="5495925" cy="40957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13</xdr:row>
      <xdr:rowOff>57150</xdr:rowOff>
    </xdr:from>
    <xdr:to>
      <xdr:col>3</xdr:col>
      <xdr:colOff>1971675</xdr:colOff>
      <xdr:row>30</xdr:row>
      <xdr:rowOff>28575</xdr:rowOff>
    </xdr:to>
    <xdr:graphicFrame>
      <xdr:nvGraphicFramePr>
        <xdr:cNvPr id="1" name="Chart 1"/>
        <xdr:cNvGraphicFramePr/>
      </xdr:nvGraphicFramePr>
      <xdr:xfrm>
        <a:off x="1352550" y="2200275"/>
        <a:ext cx="4191000" cy="2724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133350</xdr:rowOff>
    </xdr:from>
    <xdr:to>
      <xdr:col>8</xdr:col>
      <xdr:colOff>209550</xdr:colOff>
      <xdr:row>23</xdr:row>
      <xdr:rowOff>0</xdr:rowOff>
    </xdr:to>
    <xdr:graphicFrame>
      <xdr:nvGraphicFramePr>
        <xdr:cNvPr id="1" name="Chart 1"/>
        <xdr:cNvGraphicFramePr/>
      </xdr:nvGraphicFramePr>
      <xdr:xfrm>
        <a:off x="5219700" y="133350"/>
        <a:ext cx="4086225" cy="3590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Q118"/>
  <sheetViews>
    <sheetView tabSelected="1" workbookViewId="0" topLeftCell="A1">
      <selection activeCell="F83" sqref="F83"/>
    </sheetView>
  </sheetViews>
  <sheetFormatPr defaultColWidth="11.421875" defaultRowHeight="12.75"/>
  <cols>
    <col min="1" max="1" width="12.00390625" style="0" customWidth="1"/>
    <col min="2" max="2" width="9.7109375" style="0" bestFit="1" customWidth="1"/>
    <col min="3" max="3" width="12.140625" style="0" bestFit="1" customWidth="1"/>
    <col min="4" max="4" width="8.140625" style="0" customWidth="1"/>
    <col min="5" max="5" width="19.140625" style="0" customWidth="1"/>
    <col min="6" max="7" width="15.421875" style="8" customWidth="1"/>
    <col min="8" max="8" width="16.140625" style="8" customWidth="1"/>
    <col min="9" max="9" width="17.7109375" style="0" bestFit="1" customWidth="1"/>
    <col min="10" max="10" width="10.421875" style="0" bestFit="1" customWidth="1"/>
    <col min="11" max="11" width="12.421875" style="0" bestFit="1" customWidth="1"/>
    <col min="12" max="12" width="5.7109375" style="0" bestFit="1" customWidth="1"/>
    <col min="13" max="13" width="7.140625" style="0" bestFit="1" customWidth="1"/>
    <col min="14" max="14" width="12.421875" style="0" bestFit="1" customWidth="1"/>
    <col min="15" max="15" width="9.8515625" style="0" bestFit="1" customWidth="1"/>
    <col min="16" max="16" width="11.421875" style="0" bestFit="1" customWidth="1"/>
    <col min="17" max="17" width="11.28125" style="0" bestFit="1" customWidth="1"/>
    <col min="18" max="16384" width="8.8515625" style="0" customWidth="1"/>
  </cols>
  <sheetData>
    <row r="1" ht="18">
      <c r="A1" s="21" t="s">
        <v>30</v>
      </c>
    </row>
    <row r="2" ht="21">
      <c r="A2" s="21" t="s">
        <v>38</v>
      </c>
    </row>
    <row r="3" ht="18">
      <c r="A3" s="21" t="s">
        <v>41</v>
      </c>
    </row>
    <row r="4" spans="1:10" s="23" customFormat="1" ht="13.5" customHeight="1">
      <c r="A4" s="22" t="s">
        <v>91</v>
      </c>
      <c r="F4" s="24"/>
      <c r="G4" s="24"/>
      <c r="H4" s="24"/>
      <c r="J4" s="22" t="s">
        <v>42</v>
      </c>
    </row>
    <row r="5" spans="1:12" ht="57">
      <c r="A5" s="25" t="s">
        <v>8</v>
      </c>
      <c r="B5" s="32" t="s">
        <v>31</v>
      </c>
      <c r="C5" s="32" t="s">
        <v>32</v>
      </c>
      <c r="D5" s="32" t="s">
        <v>33</v>
      </c>
      <c r="E5" s="32" t="s">
        <v>43</v>
      </c>
      <c r="F5" s="32" t="s">
        <v>87</v>
      </c>
      <c r="G5" s="32" t="s">
        <v>88</v>
      </c>
      <c r="H5" s="32" t="s">
        <v>89</v>
      </c>
      <c r="J5" s="15"/>
      <c r="K5" s="4"/>
      <c r="L5" s="4"/>
    </row>
    <row r="6" spans="1:12" ht="12.75">
      <c r="A6" s="33">
        <v>36768</v>
      </c>
      <c r="B6" s="2">
        <v>0</v>
      </c>
      <c r="C6" s="34">
        <v>102.37</v>
      </c>
      <c r="D6" s="34">
        <f aca="true" t="shared" si="0" ref="D6:D66">LN(C6)</f>
        <v>4.628593700931679</v>
      </c>
      <c r="E6" s="34">
        <f aca="true" t="shared" si="1" ref="E6:E53">$C$73+$C$74*B6</f>
        <v>5.5037</v>
      </c>
      <c r="F6" s="34">
        <f aca="true" t="shared" si="2" ref="F6:F53">(E6-D6)^2</f>
        <v>0.7658110346690535</v>
      </c>
      <c r="G6" s="34">
        <f aca="true" t="shared" si="3" ref="G6:G53">$F$73*EXP($C$74*B6)</f>
        <v>245.5989693975167</v>
      </c>
      <c r="H6" s="34">
        <f aca="true" t="shared" si="4" ref="H6:H53">(G6/C6-1)^2</f>
        <v>1.9575656124103897</v>
      </c>
      <c r="J6" s="1"/>
      <c r="K6" s="17"/>
      <c r="L6" s="27"/>
    </row>
    <row r="7" spans="1:12" ht="12.75">
      <c r="A7" s="33">
        <v>36798</v>
      </c>
      <c r="B7" s="2">
        <v>1</v>
      </c>
      <c r="C7" s="34">
        <v>129.6</v>
      </c>
      <c r="D7" s="34">
        <f t="shared" si="0"/>
        <v>4.864452783918174</v>
      </c>
      <c r="E7" s="34">
        <f t="shared" si="1"/>
        <v>5.5177000000000005</v>
      </c>
      <c r="F7" s="34">
        <f t="shared" si="2"/>
        <v>0.4267319253186566</v>
      </c>
      <c r="G7" s="34">
        <f t="shared" si="3"/>
        <v>249.0615363829036</v>
      </c>
      <c r="H7" s="34">
        <f t="shared" si="4"/>
        <v>0.8496619867257635</v>
      </c>
      <c r="J7" s="1"/>
      <c r="K7" s="17"/>
      <c r="L7" s="27"/>
    </row>
    <row r="8" spans="1:8" ht="12.75">
      <c r="A8" s="33">
        <v>36827</v>
      </c>
      <c r="B8" s="2">
        <v>2</v>
      </c>
      <c r="C8" s="34">
        <v>190.64</v>
      </c>
      <c r="D8" s="34">
        <f t="shared" si="0"/>
        <v>5.250386832790487</v>
      </c>
      <c r="E8" s="34">
        <f t="shared" si="1"/>
        <v>5.5317</v>
      </c>
      <c r="F8" s="34">
        <f t="shared" si="2"/>
        <v>0.07913709804544733</v>
      </c>
      <c r="G8" s="34">
        <f t="shared" si="3"/>
        <v>252.5729202267558</v>
      </c>
      <c r="H8" s="34">
        <f t="shared" si="4"/>
        <v>0.10553950612031938</v>
      </c>
    </row>
    <row r="9" spans="1:8" ht="12.75">
      <c r="A9" s="33">
        <v>36859</v>
      </c>
      <c r="B9" s="2">
        <v>3</v>
      </c>
      <c r="C9" s="34">
        <v>181.98</v>
      </c>
      <c r="D9" s="34">
        <f t="shared" si="0"/>
        <v>5.203896790928544</v>
      </c>
      <c r="E9" s="34">
        <f t="shared" si="1"/>
        <v>5.5457</v>
      </c>
      <c r="F9" s="34">
        <f t="shared" si="2"/>
        <v>0.1168294337315453</v>
      </c>
      <c r="G9" s="34">
        <f t="shared" si="3"/>
        <v>256.13380917154785</v>
      </c>
      <c r="H9" s="34">
        <f t="shared" si="4"/>
        <v>0.16604263188604684</v>
      </c>
    </row>
    <row r="10" spans="1:8" ht="12.75">
      <c r="A10" s="33">
        <v>36890</v>
      </c>
      <c r="B10" s="2">
        <v>4</v>
      </c>
      <c r="C10" s="34">
        <v>192.79</v>
      </c>
      <c r="D10" s="34">
        <f t="shared" si="0"/>
        <v>5.261601513611377</v>
      </c>
      <c r="E10" s="34">
        <f t="shared" si="1"/>
        <v>5.5597</v>
      </c>
      <c r="F10" s="34">
        <f t="shared" si="2"/>
        <v>0.08886270758718813</v>
      </c>
      <c r="G10" s="34">
        <f t="shared" si="3"/>
        <v>259.7449011629125</v>
      </c>
      <c r="H10" s="34">
        <f t="shared" si="4"/>
        <v>0.12061344994321031</v>
      </c>
    </row>
    <row r="11" spans="1:8" ht="12.75">
      <c r="A11" s="33">
        <v>36921</v>
      </c>
      <c r="B11" s="2">
        <v>5</v>
      </c>
      <c r="C11" s="34">
        <v>195.62</v>
      </c>
      <c r="D11" s="34">
        <f t="shared" si="0"/>
        <v>5.276174001862347</v>
      </c>
      <c r="E11" s="34">
        <f t="shared" si="1"/>
        <v>5.5737000000000005</v>
      </c>
      <c r="F11" s="34">
        <f t="shared" si="2"/>
        <v>0.0885217195678071</v>
      </c>
      <c r="G11" s="34">
        <f t="shared" si="3"/>
        <v>263.4069039864406</v>
      </c>
      <c r="H11" s="34">
        <f t="shared" si="4"/>
        <v>0.12007845427130293</v>
      </c>
    </row>
    <row r="12" spans="1:8" ht="12.75">
      <c r="A12" s="33">
        <v>36949</v>
      </c>
      <c r="B12" s="2">
        <v>6</v>
      </c>
      <c r="C12" s="34">
        <v>187.99</v>
      </c>
      <c r="D12" s="34">
        <f t="shared" si="0"/>
        <v>5.23638876992587</v>
      </c>
      <c r="E12" s="34">
        <f t="shared" si="1"/>
        <v>5.5877</v>
      </c>
      <c r="F12" s="34">
        <f t="shared" si="2"/>
        <v>0.12341958037619792</v>
      </c>
      <c r="G12" s="34">
        <f t="shared" si="3"/>
        <v>267.1205354064088</v>
      </c>
      <c r="H12" s="34">
        <f t="shared" si="4"/>
        <v>0.1771816381548838</v>
      </c>
    </row>
    <row r="13" spans="1:8" ht="12.75">
      <c r="A13" s="33">
        <v>36980</v>
      </c>
      <c r="B13" s="2">
        <v>7</v>
      </c>
      <c r="C13" s="34">
        <v>180.51</v>
      </c>
      <c r="D13" s="34">
        <f t="shared" si="0"/>
        <v>5.19578617790037</v>
      </c>
      <c r="E13" s="34">
        <f t="shared" si="1"/>
        <v>5.6017</v>
      </c>
      <c r="F13" s="34">
        <f t="shared" si="2"/>
        <v>0.16476603097153017</v>
      </c>
      <c r="G13" s="34">
        <f t="shared" si="3"/>
        <v>270.8865233064642</v>
      </c>
      <c r="H13" s="34">
        <f t="shared" si="4"/>
        <v>0.2506736752458579</v>
      </c>
    </row>
    <row r="14" spans="1:8" ht="12.75">
      <c r="A14" s="33">
        <v>37009</v>
      </c>
      <c r="B14" s="2">
        <v>8</v>
      </c>
      <c r="C14" s="34">
        <v>220</v>
      </c>
      <c r="D14" s="34">
        <f t="shared" si="0"/>
        <v>5.393627546352362</v>
      </c>
      <c r="E14" s="34">
        <f t="shared" si="1"/>
        <v>5.6157</v>
      </c>
      <c r="F14" s="34">
        <f t="shared" si="2"/>
        <v>0.0493161746690825</v>
      </c>
      <c r="G14" s="34">
        <f t="shared" si="3"/>
        <v>274.7056058322913</v>
      </c>
      <c r="H14" s="34">
        <f t="shared" si="4"/>
        <v>0.06183271300574435</v>
      </c>
    </row>
    <row r="15" spans="1:8" ht="12.75">
      <c r="A15" s="33">
        <v>37041</v>
      </c>
      <c r="B15" s="2">
        <v>9</v>
      </c>
      <c r="C15" s="34">
        <v>277.27</v>
      </c>
      <c r="D15" s="34">
        <f t="shared" si="0"/>
        <v>5.624991760689139</v>
      </c>
      <c r="E15" s="34">
        <f t="shared" si="1"/>
        <v>5.629700000000001</v>
      </c>
      <c r="F15" s="34">
        <f t="shared" si="2"/>
        <v>2.2167517408343722E-05</v>
      </c>
      <c r="G15" s="34">
        <f t="shared" si="3"/>
        <v>278.57853153629156</v>
      </c>
      <c r="H15" s="34">
        <f t="shared" si="4"/>
        <v>2.2272174613891332E-05</v>
      </c>
    </row>
    <row r="16" spans="1:8" ht="12.75">
      <c r="A16" s="33">
        <v>37071</v>
      </c>
      <c r="B16" s="2">
        <v>10</v>
      </c>
      <c r="C16" s="34">
        <v>294.15</v>
      </c>
      <c r="D16" s="34">
        <f t="shared" si="0"/>
        <v>5.684089841310465</v>
      </c>
      <c r="E16" s="34">
        <f t="shared" si="1"/>
        <v>5.6437</v>
      </c>
      <c r="F16" s="34">
        <f t="shared" si="2"/>
        <v>0.0016313392810845516</v>
      </c>
      <c r="G16" s="34">
        <f t="shared" si="3"/>
        <v>282.50605952430146</v>
      </c>
      <c r="H16" s="34">
        <f t="shared" si="4"/>
        <v>0.0015669756501031824</v>
      </c>
    </row>
    <row r="17" spans="1:8" ht="12.75">
      <c r="A17" s="33">
        <v>37100</v>
      </c>
      <c r="B17" s="2">
        <v>11</v>
      </c>
      <c r="C17" s="34">
        <v>287.76</v>
      </c>
      <c r="D17" s="34">
        <f t="shared" si="0"/>
        <v>5.6621267993873685</v>
      </c>
      <c r="E17" s="34">
        <f t="shared" si="1"/>
        <v>5.6577</v>
      </c>
      <c r="F17" s="34">
        <f t="shared" si="2"/>
        <v>1.9596552816004718E-05</v>
      </c>
      <c r="G17" s="34">
        <f t="shared" si="3"/>
        <v>286.4889596043801</v>
      </c>
      <c r="H17" s="34">
        <f t="shared" si="4"/>
        <v>1.951002639816361E-05</v>
      </c>
    </row>
    <row r="18" spans="1:8" ht="12.75">
      <c r="A18" s="33">
        <v>37133</v>
      </c>
      <c r="B18" s="2">
        <v>12</v>
      </c>
      <c r="C18" s="34">
        <v>286</v>
      </c>
      <c r="D18" s="34">
        <f t="shared" si="0"/>
        <v>5.655991810819852</v>
      </c>
      <c r="E18" s="34">
        <f t="shared" si="1"/>
        <v>5.6717</v>
      </c>
      <c r="F18" s="34">
        <f t="shared" si="2"/>
        <v>0.00024674720731932015</v>
      </c>
      <c r="G18" s="34">
        <f t="shared" si="3"/>
        <v>290.5280124376938</v>
      </c>
      <c r="H18" s="34">
        <f t="shared" si="4"/>
        <v>0.0002506589153003801</v>
      </c>
    </row>
    <row r="19" spans="1:8" ht="12.75">
      <c r="A19" s="33">
        <v>37163</v>
      </c>
      <c r="B19" s="2">
        <v>13</v>
      </c>
      <c r="C19" s="34">
        <v>316.46</v>
      </c>
      <c r="D19" s="34">
        <f t="shared" si="0"/>
        <v>5.757196851290837</v>
      </c>
      <c r="E19" s="34">
        <f t="shared" si="1"/>
        <v>5.685700000000001</v>
      </c>
      <c r="F19" s="34">
        <f t="shared" si="2"/>
        <v>0.005111799744504019</v>
      </c>
      <c r="G19" s="34">
        <f t="shared" si="3"/>
        <v>294.62400969152844</v>
      </c>
      <c r="H19" s="34">
        <f t="shared" si="4"/>
        <v>0.004761109153659405</v>
      </c>
    </row>
    <row r="20" spans="1:8" ht="12.75">
      <c r="A20" s="33">
        <v>37194</v>
      </c>
      <c r="B20" s="2">
        <v>14</v>
      </c>
      <c r="C20" s="34">
        <v>371.81</v>
      </c>
      <c r="D20" s="34">
        <f t="shared" si="0"/>
        <v>5.91838297110639</v>
      </c>
      <c r="E20" s="34">
        <f t="shared" si="1"/>
        <v>5.6997</v>
      </c>
      <c r="F20" s="34">
        <f t="shared" si="2"/>
        <v>0.04782224185191831</v>
      </c>
      <c r="G20" s="34">
        <f t="shared" si="3"/>
        <v>298.7777541944584</v>
      </c>
      <c r="H20" s="34">
        <f t="shared" si="4"/>
        <v>0.03858221699602246</v>
      </c>
    </row>
    <row r="21" spans="1:8" ht="12.75">
      <c r="A21" s="33">
        <v>37224</v>
      </c>
      <c r="B21" s="2">
        <v>15</v>
      </c>
      <c r="C21" s="34">
        <v>404.9125</v>
      </c>
      <c r="D21" s="34">
        <f t="shared" si="0"/>
        <v>6.003670994381793</v>
      </c>
      <c r="E21" s="34">
        <f t="shared" si="1"/>
        <v>5.7137</v>
      </c>
      <c r="F21" s="34">
        <f t="shared" si="2"/>
        <v>0.08408317758276594</v>
      </c>
      <c r="G21" s="34">
        <f t="shared" si="3"/>
        <v>302.99006009370396</v>
      </c>
      <c r="H21" s="34">
        <f t="shared" si="4"/>
        <v>0.06336030442265603</v>
      </c>
    </row>
    <row r="22" spans="1:8" ht="12.75">
      <c r="A22" s="33">
        <v>37254</v>
      </c>
      <c r="B22" s="2">
        <v>16</v>
      </c>
      <c r="C22" s="34">
        <v>414.86</v>
      </c>
      <c r="D22" s="34">
        <f t="shared" si="0"/>
        <v>6.027941113918</v>
      </c>
      <c r="E22" s="34">
        <f t="shared" si="1"/>
        <v>5.7277000000000005</v>
      </c>
      <c r="F22" s="34">
        <f t="shared" si="2"/>
        <v>0.09014472648672099</v>
      </c>
      <c r="G22" s="34">
        <f t="shared" si="3"/>
        <v>307.26175301470636</v>
      </c>
      <c r="H22" s="34">
        <f t="shared" si="4"/>
        <v>0.0672678063867696</v>
      </c>
    </row>
    <row r="23" spans="1:8" ht="12.75">
      <c r="A23" s="33">
        <v>37286</v>
      </c>
      <c r="B23" s="2">
        <v>17</v>
      </c>
      <c r="C23" s="34">
        <v>432.6601</v>
      </c>
      <c r="D23" s="34">
        <f t="shared" si="0"/>
        <v>6.069952431285065</v>
      </c>
      <c r="E23" s="34">
        <f t="shared" si="1"/>
        <v>5.741700000000001</v>
      </c>
      <c r="F23" s="34">
        <f t="shared" si="2"/>
        <v>0.10774965864455602</v>
      </c>
      <c r="G23" s="34">
        <f t="shared" si="3"/>
        <v>311.5936702229534</v>
      </c>
      <c r="H23" s="34">
        <f t="shared" si="4"/>
        <v>0.07829856055814405</v>
      </c>
    </row>
    <row r="24" spans="1:8" ht="12.75">
      <c r="A24" s="33">
        <v>37314</v>
      </c>
      <c r="B24" s="2">
        <v>18</v>
      </c>
      <c r="C24" s="34">
        <v>362.62</v>
      </c>
      <c r="D24" s="34">
        <f t="shared" si="0"/>
        <v>5.893355453997663</v>
      </c>
      <c r="E24" s="34">
        <f t="shared" si="1"/>
        <v>5.7557</v>
      </c>
      <c r="F24" s="34">
        <f t="shared" si="2"/>
        <v>0.018949024015302744</v>
      </c>
      <c r="G24" s="34">
        <f t="shared" si="3"/>
        <v>315.9866607880858</v>
      </c>
      <c r="H24" s="34">
        <f t="shared" si="4"/>
        <v>0.016538248829522942</v>
      </c>
    </row>
    <row r="25" spans="1:8" ht="12.75">
      <c r="A25" s="33">
        <v>37345</v>
      </c>
      <c r="B25" s="2">
        <v>19</v>
      </c>
      <c r="C25" s="34">
        <v>390</v>
      </c>
      <c r="D25" s="34">
        <f t="shared" si="0"/>
        <v>5.966146739123692</v>
      </c>
      <c r="E25" s="34">
        <f t="shared" si="1"/>
        <v>5.7697</v>
      </c>
      <c r="F25" s="34">
        <f t="shared" si="2"/>
        <v>0.038591321312331874</v>
      </c>
      <c r="G25" s="34">
        <f t="shared" si="3"/>
        <v>320.441585750318</v>
      </c>
      <c r="H25" s="34">
        <f t="shared" si="4"/>
        <v>0.031810473326300895</v>
      </c>
    </row>
    <row r="26" spans="1:8" ht="12.75">
      <c r="A26" s="33">
        <v>37373</v>
      </c>
      <c r="B26" s="2">
        <v>20</v>
      </c>
      <c r="C26" s="34">
        <v>417.94</v>
      </c>
      <c r="D26" s="34">
        <f t="shared" si="0"/>
        <v>6.035337881551952</v>
      </c>
      <c r="E26" s="34">
        <f t="shared" si="1"/>
        <v>5.7837000000000005</v>
      </c>
      <c r="F26" s="34">
        <f t="shared" si="2"/>
        <v>0.06332162343195377</v>
      </c>
      <c r="G26" s="34">
        <f t="shared" si="3"/>
        <v>324.9593182892042</v>
      </c>
      <c r="H26" s="34">
        <f t="shared" si="4"/>
        <v>0.049494572245184866</v>
      </c>
    </row>
    <row r="27" spans="1:8" ht="12.75">
      <c r="A27" s="33">
        <v>37406</v>
      </c>
      <c r="B27" s="2">
        <v>21</v>
      </c>
      <c r="C27" s="34">
        <v>371.82</v>
      </c>
      <c r="D27" s="34">
        <f t="shared" si="0"/>
        <v>5.918409866202071</v>
      </c>
      <c r="E27" s="34">
        <f t="shared" si="1"/>
        <v>5.7977</v>
      </c>
      <c r="F27" s="34">
        <f t="shared" si="2"/>
        <v>0.014570871798522024</v>
      </c>
      <c r="G27" s="34">
        <f t="shared" si="3"/>
        <v>329.540743894785</v>
      </c>
      <c r="H27" s="34">
        <f t="shared" si="4"/>
        <v>0.012929721833704347</v>
      </c>
    </row>
    <row r="28" spans="1:8" ht="12.75">
      <c r="A28" s="33">
        <v>37436</v>
      </c>
      <c r="B28" s="2">
        <v>22</v>
      </c>
      <c r="C28" s="34">
        <v>419.33</v>
      </c>
      <c r="D28" s="34">
        <f t="shared" si="0"/>
        <v>6.038658199435085</v>
      </c>
      <c r="E28" s="34">
        <f t="shared" si="1"/>
        <v>5.8117</v>
      </c>
      <c r="F28" s="34">
        <f t="shared" si="2"/>
        <v>0.051510024290815866</v>
      </c>
      <c r="G28" s="34">
        <f t="shared" si="3"/>
        <v>334.1867605411459</v>
      </c>
      <c r="H28" s="34">
        <f t="shared" si="4"/>
        <v>0.041227639648836155</v>
      </c>
    </row>
    <row r="29" spans="1:8" ht="12.75">
      <c r="A29" s="33">
        <v>37467</v>
      </c>
      <c r="B29" s="2">
        <v>23</v>
      </c>
      <c r="C29" s="34">
        <v>386.6</v>
      </c>
      <c r="D29" s="34">
        <f t="shared" si="0"/>
        <v>5.95739056677423</v>
      </c>
      <c r="E29" s="34">
        <f t="shared" si="1"/>
        <v>5.8257</v>
      </c>
      <c r="F29" s="34">
        <f t="shared" si="2"/>
        <v>0.01734240537731795</v>
      </c>
      <c r="G29" s="34">
        <f t="shared" si="3"/>
        <v>338.89827886242296</v>
      </c>
      <c r="H29" s="34">
        <f t="shared" si="4"/>
        <v>0.015224547693618038</v>
      </c>
    </row>
    <row r="30" spans="1:10" ht="12.75">
      <c r="A30" s="33">
        <v>37498</v>
      </c>
      <c r="B30" s="2">
        <v>24</v>
      </c>
      <c r="C30" s="34">
        <v>378.53</v>
      </c>
      <c r="D30" s="34">
        <f t="shared" si="0"/>
        <v>5.9362953299743575</v>
      </c>
      <c r="E30" s="34">
        <f t="shared" si="1"/>
        <v>5.839700000000001</v>
      </c>
      <c r="F30" s="34">
        <f t="shared" si="2"/>
        <v>0.009330657772854899</v>
      </c>
      <c r="G30" s="34">
        <f t="shared" si="3"/>
        <v>343.6762223312906</v>
      </c>
      <c r="H30" s="34">
        <f t="shared" si="4"/>
        <v>0.008478111102166778</v>
      </c>
      <c r="J30" s="22" t="s">
        <v>48</v>
      </c>
    </row>
    <row r="31" spans="1:8" ht="12.75">
      <c r="A31" s="33">
        <v>37527</v>
      </c>
      <c r="B31" s="2">
        <v>25</v>
      </c>
      <c r="C31" s="34">
        <v>401.9</v>
      </c>
      <c r="D31" s="34">
        <f t="shared" si="0"/>
        <v>5.9962033014551555</v>
      </c>
      <c r="E31" s="34">
        <f t="shared" si="1"/>
        <v>5.8537</v>
      </c>
      <c r="F31" s="34">
        <f t="shared" si="2"/>
        <v>0.02030719092561894</v>
      </c>
      <c r="G31" s="34">
        <f t="shared" si="3"/>
        <v>348.5215274399645</v>
      </c>
      <c r="H31" s="34">
        <f t="shared" si="4"/>
        <v>0.01763990622078384</v>
      </c>
    </row>
    <row r="32" spans="1:8" ht="12.75">
      <c r="A32" s="33">
        <v>37559</v>
      </c>
      <c r="B32" s="2">
        <v>26</v>
      </c>
      <c r="C32" s="34">
        <v>476.39</v>
      </c>
      <c r="D32" s="34">
        <f t="shared" si="0"/>
        <v>6.166236846496772</v>
      </c>
      <c r="E32" s="34">
        <f t="shared" si="1"/>
        <v>5.8677</v>
      </c>
      <c r="F32" s="34">
        <f t="shared" si="2"/>
        <v>0.08912424871623703</v>
      </c>
      <c r="G32" s="34">
        <f t="shared" si="3"/>
        <v>353.4351438837574</v>
      </c>
      <c r="H32" s="34">
        <f t="shared" si="4"/>
        <v>0.06661408989155035</v>
      </c>
    </row>
    <row r="33" spans="1:8" ht="12.75">
      <c r="A33" s="33">
        <v>37589</v>
      </c>
      <c r="B33" s="2">
        <v>27</v>
      </c>
      <c r="C33" s="34">
        <v>484.81</v>
      </c>
      <c r="D33" s="34">
        <f t="shared" si="0"/>
        <v>6.183757061605076</v>
      </c>
      <c r="E33" s="34">
        <f t="shared" si="1"/>
        <v>5.8817</v>
      </c>
      <c r="F33" s="34">
        <f t="shared" si="2"/>
        <v>0.09123846846549225</v>
      </c>
      <c r="G33" s="34">
        <f t="shared" si="3"/>
        <v>358.4180347472227</v>
      </c>
      <c r="H33" s="34">
        <f t="shared" si="4"/>
        <v>0.06796663908362932</v>
      </c>
    </row>
    <row r="34" spans="1:8" ht="12.75">
      <c r="A34" s="33">
        <v>37618</v>
      </c>
      <c r="B34" s="2">
        <v>28</v>
      </c>
      <c r="C34" s="34">
        <v>460.48</v>
      </c>
      <c r="D34" s="34">
        <f t="shared" si="0"/>
        <v>6.132269423699003</v>
      </c>
      <c r="E34" s="34">
        <f t="shared" si="1"/>
        <v>5.895700000000001</v>
      </c>
      <c r="F34" s="34">
        <f t="shared" si="2"/>
        <v>0.0559650922292781</v>
      </c>
      <c r="G34" s="34">
        <f t="shared" si="3"/>
        <v>363.4711766929215</v>
      </c>
      <c r="H34" s="34">
        <f t="shared" si="4"/>
        <v>0.04438139296228212</v>
      </c>
    </row>
    <row r="35" spans="1:8" ht="12.75">
      <c r="A35" s="33">
        <v>37651</v>
      </c>
      <c r="B35" s="2">
        <v>29</v>
      </c>
      <c r="C35" s="34">
        <v>501.5</v>
      </c>
      <c r="D35" s="34">
        <f t="shared" si="0"/>
        <v>6.2176036074019905</v>
      </c>
      <c r="E35" s="34">
        <f t="shared" si="1"/>
        <v>5.9097</v>
      </c>
      <c r="F35" s="34">
        <f t="shared" si="2"/>
        <v>0.09480463145115911</v>
      </c>
      <c r="G35" s="34">
        <f t="shared" si="3"/>
        <v>368.5955601528522</v>
      </c>
      <c r="H35" s="34">
        <f t="shared" si="4"/>
        <v>0.07023233442676607</v>
      </c>
    </row>
    <row r="36" spans="1:8" ht="12.75">
      <c r="A36" s="33">
        <v>37679</v>
      </c>
      <c r="B36" s="2">
        <v>30</v>
      </c>
      <c r="C36" s="34">
        <v>449.45</v>
      </c>
      <c r="D36" s="34">
        <f t="shared" si="0"/>
        <v>6.108024613019408</v>
      </c>
      <c r="E36" s="34">
        <f t="shared" si="1"/>
        <v>5.9237</v>
      </c>
      <c r="F36" s="34">
        <f t="shared" si="2"/>
        <v>0.03397556296475445</v>
      </c>
      <c r="G36" s="34">
        <f t="shared" si="3"/>
        <v>373.7921895225777</v>
      </c>
      <c r="H36" s="34">
        <f t="shared" si="4"/>
        <v>0.028336406101208887</v>
      </c>
    </row>
    <row r="37" spans="1:8" ht="12.75">
      <c r="A37" s="33">
        <v>37709</v>
      </c>
      <c r="B37" s="2">
        <v>31</v>
      </c>
      <c r="C37" s="34">
        <v>458.16</v>
      </c>
      <c r="D37" s="34">
        <f t="shared" si="0"/>
        <v>6.127218468085602</v>
      </c>
      <c r="E37" s="34">
        <f t="shared" si="1"/>
        <v>5.9377</v>
      </c>
      <c r="F37" s="34">
        <f t="shared" si="2"/>
        <v>0.03591724974551331</v>
      </c>
      <c r="G37" s="34">
        <f t="shared" si="3"/>
        <v>379.062083358091</v>
      </c>
      <c r="H37" s="34">
        <f t="shared" si="4"/>
        <v>0.029805454542500148</v>
      </c>
    </row>
    <row r="38" spans="1:8" ht="12.75">
      <c r="A38" s="33">
        <v>37740</v>
      </c>
      <c r="B38" s="2">
        <v>32</v>
      </c>
      <c r="C38" s="34">
        <v>471.38</v>
      </c>
      <c r="D38" s="34">
        <f t="shared" si="0"/>
        <v>6.155664562788242</v>
      </c>
      <c r="E38" s="34">
        <f t="shared" si="1"/>
        <v>5.951700000000001</v>
      </c>
      <c r="F38" s="34">
        <f t="shared" si="2"/>
        <v>0.041601542873398276</v>
      </c>
      <c r="G38" s="34">
        <f t="shared" si="3"/>
        <v>384.40627457545435</v>
      </c>
      <c r="H38" s="34">
        <f t="shared" si="4"/>
        <v>0.034043471663174965</v>
      </c>
    </row>
    <row r="39" spans="1:8" ht="12.75">
      <c r="A39" s="33">
        <v>37771</v>
      </c>
      <c r="B39" s="2">
        <v>33</v>
      </c>
      <c r="C39" s="34">
        <v>497.909</v>
      </c>
      <c r="D39" s="34">
        <f t="shared" si="0"/>
        <v>6.2104173294036285</v>
      </c>
      <c r="E39" s="34">
        <f t="shared" si="1"/>
        <v>5.9657</v>
      </c>
      <c r="F39" s="34">
        <f t="shared" si="2"/>
        <v>0.05988657131044399</v>
      </c>
      <c r="G39" s="34">
        <f t="shared" si="3"/>
        <v>389.82581065325525</v>
      </c>
      <c r="H39" s="34">
        <f t="shared" si="4"/>
        <v>0.047121200893202396</v>
      </c>
    </row>
    <row r="40" spans="1:8" ht="12.75">
      <c r="A40" s="33">
        <v>37800</v>
      </c>
      <c r="B40" s="2">
        <v>34</v>
      </c>
      <c r="C40" s="34">
        <v>522.7001</v>
      </c>
      <c r="D40" s="34">
        <f t="shared" si="0"/>
        <v>6.259007877033187</v>
      </c>
      <c r="E40" s="34">
        <f t="shared" si="1"/>
        <v>5.9797</v>
      </c>
      <c r="F40" s="34">
        <f t="shared" si="2"/>
        <v>0.07801289017278575</v>
      </c>
      <c r="G40" s="34">
        <f t="shared" si="3"/>
        <v>395.3217538379146</v>
      </c>
      <c r="H40" s="34">
        <f t="shared" si="4"/>
        <v>0.05938626957058969</v>
      </c>
    </row>
    <row r="41" spans="1:8" ht="12.75">
      <c r="A41" s="33">
        <v>37832</v>
      </c>
      <c r="B41" s="2">
        <v>35</v>
      </c>
      <c r="C41" s="34">
        <v>510</v>
      </c>
      <c r="D41" s="34">
        <f t="shared" si="0"/>
        <v>6.234410725718371</v>
      </c>
      <c r="E41" s="34">
        <f t="shared" si="1"/>
        <v>5.9937000000000005</v>
      </c>
      <c r="F41" s="34">
        <f t="shared" si="2"/>
        <v>0.0579416534758647</v>
      </c>
      <c r="G41" s="34">
        <f t="shared" si="3"/>
        <v>400.8951813518912</v>
      </c>
      <c r="H41" s="34">
        <f t="shared" si="4"/>
        <v>0.04576648001628877</v>
      </c>
    </row>
    <row r="42" spans="1:8" ht="12.75">
      <c r="A42" s="33">
        <v>37863</v>
      </c>
      <c r="B42" s="2">
        <v>36</v>
      </c>
      <c r="C42" s="34">
        <v>515.25</v>
      </c>
      <c r="D42" s="34">
        <f t="shared" si="0"/>
        <v>6.244652219770568</v>
      </c>
      <c r="E42" s="34">
        <f t="shared" si="1"/>
        <v>6.0077</v>
      </c>
      <c r="F42" s="34">
        <f t="shared" si="2"/>
        <v>0.05614635445419978</v>
      </c>
      <c r="G42" s="34">
        <f t="shared" si="3"/>
        <v>406.54718560482036</v>
      </c>
      <c r="H42" s="34">
        <f t="shared" si="4"/>
        <v>0.04450876828278644</v>
      </c>
    </row>
    <row r="43" spans="1:8" ht="12.75">
      <c r="A43" s="33">
        <v>37891</v>
      </c>
      <c r="B43" s="2">
        <v>37</v>
      </c>
      <c r="C43" s="34">
        <v>567.27</v>
      </c>
      <c r="D43" s="34">
        <f t="shared" si="0"/>
        <v>6.340835380861238</v>
      </c>
      <c r="E43" s="34">
        <f t="shared" si="1"/>
        <v>6.0217</v>
      </c>
      <c r="F43" s="34">
        <f t="shared" si="2"/>
        <v>0.10184739131744733</v>
      </c>
      <c r="G43" s="34">
        <f t="shared" si="3"/>
        <v>412.27887440762953</v>
      </c>
      <c r="H43" s="34">
        <f t="shared" si="4"/>
        <v>0.07465072525434373</v>
      </c>
    </row>
    <row r="44" spans="1:8" ht="12.75">
      <c r="A44" s="33">
        <v>37924</v>
      </c>
      <c r="B44" s="2">
        <v>38</v>
      </c>
      <c r="C44" s="34">
        <v>707</v>
      </c>
      <c r="D44" s="34">
        <f t="shared" si="0"/>
        <v>6.561030665896573</v>
      </c>
      <c r="E44" s="34">
        <f t="shared" si="1"/>
        <v>6.0357</v>
      </c>
      <c r="F44" s="34">
        <f t="shared" si="2"/>
        <v>0.27597230853133664</v>
      </c>
      <c r="G44" s="34">
        <f t="shared" si="3"/>
        <v>418.09137118967334</v>
      </c>
      <c r="H44" s="34">
        <f t="shared" si="4"/>
        <v>0.16698682162225612</v>
      </c>
    </row>
    <row r="45" spans="1:8" ht="12.75">
      <c r="A45" s="33">
        <v>37954</v>
      </c>
      <c r="B45" s="2">
        <v>39</v>
      </c>
      <c r="C45" s="34">
        <v>693</v>
      </c>
      <c r="D45" s="34">
        <f t="shared" si="0"/>
        <v>6.541029999189903</v>
      </c>
      <c r="E45" s="34">
        <f t="shared" si="1"/>
        <v>6.0497000000000005</v>
      </c>
      <c r="F45" s="34">
        <f t="shared" si="2"/>
        <v>0.2414051681039498</v>
      </c>
      <c r="G45" s="34">
        <f t="shared" si="3"/>
        <v>423.9858152189289</v>
      </c>
      <c r="H45" s="34">
        <f t="shared" si="4"/>
        <v>0.15068981218789476</v>
      </c>
    </row>
    <row r="46" spans="1:8" ht="12.75">
      <c r="A46" s="33">
        <v>37985</v>
      </c>
      <c r="B46" s="2">
        <v>40</v>
      </c>
      <c r="C46" s="34">
        <v>692.6</v>
      </c>
      <c r="D46" s="34">
        <f t="shared" si="0"/>
        <v>6.540452631968321</v>
      </c>
      <c r="E46" s="34">
        <f t="shared" si="1"/>
        <v>6.063700000000001</v>
      </c>
      <c r="F46" s="34">
        <f t="shared" si="2"/>
        <v>0.227293072088721</v>
      </c>
      <c r="G46" s="34">
        <f t="shared" si="3"/>
        <v>429.9633618252962</v>
      </c>
      <c r="H46" s="34">
        <f t="shared" si="4"/>
        <v>0.1437956164284769</v>
      </c>
    </row>
    <row r="47" spans="1:8" ht="12.75">
      <c r="A47" s="33">
        <v>38016</v>
      </c>
      <c r="B47" s="2">
        <v>41</v>
      </c>
      <c r="C47" s="34">
        <v>564.3</v>
      </c>
      <c r="D47" s="34">
        <f t="shared" si="0"/>
        <v>6.335586024975094</v>
      </c>
      <c r="E47" s="34">
        <f t="shared" si="1"/>
        <v>6.0777</v>
      </c>
      <c r="F47" s="34">
        <f t="shared" si="2"/>
        <v>0.06650520187745483</v>
      </c>
      <c r="G47" s="34">
        <f t="shared" si="3"/>
        <v>436.02518262704626</v>
      </c>
      <c r="H47" s="34">
        <f t="shared" si="4"/>
        <v>0.05167288496941591</v>
      </c>
    </row>
    <row r="48" spans="1:8" ht="12.75">
      <c r="A48" s="33">
        <v>38045</v>
      </c>
      <c r="B48" s="2">
        <v>42</v>
      </c>
      <c r="C48" s="34">
        <v>472</v>
      </c>
      <c r="D48" s="34">
        <f t="shared" si="0"/>
        <v>6.156978985585555</v>
      </c>
      <c r="E48" s="34">
        <f t="shared" si="1"/>
        <v>6.0917</v>
      </c>
      <c r="F48" s="34">
        <f t="shared" si="2"/>
        <v>0.004261345959079055</v>
      </c>
      <c r="G48" s="34">
        <f t="shared" si="3"/>
        <v>442.1724657604623</v>
      </c>
      <c r="H48" s="34">
        <f t="shared" si="4"/>
        <v>0.003993472595926073</v>
      </c>
    </row>
    <row r="49" spans="1:8" ht="12.75">
      <c r="A49" s="33">
        <v>38076</v>
      </c>
      <c r="B49" s="2">
        <v>43</v>
      </c>
      <c r="C49" s="34">
        <v>440.47</v>
      </c>
      <c r="D49" s="34">
        <f t="shared" si="0"/>
        <v>6.087842338630235</v>
      </c>
      <c r="E49" s="34">
        <f t="shared" si="1"/>
        <v>6.105700000000001</v>
      </c>
      <c r="F49" s="34">
        <f t="shared" si="2"/>
        <v>0.00031889606959721183</v>
      </c>
      <c r="G49" s="34">
        <f t="shared" si="3"/>
        <v>448.40641611271803</v>
      </c>
      <c r="H49" s="34">
        <f t="shared" si="4"/>
        <v>0.0003246505863449559</v>
      </c>
    </row>
    <row r="50" spans="1:8" ht="12.75">
      <c r="A50" s="33">
        <v>38106</v>
      </c>
      <c r="B50" s="2">
        <v>44</v>
      </c>
      <c r="C50" s="34">
        <v>574.29</v>
      </c>
      <c r="D50" s="34">
        <f t="shared" si="0"/>
        <v>6.353134495216475</v>
      </c>
      <c r="E50" s="34">
        <f t="shared" si="1"/>
        <v>6.1197</v>
      </c>
      <c r="F50" s="34">
        <f t="shared" si="2"/>
        <v>0.054491663556970424</v>
      </c>
      <c r="G50" s="34">
        <f t="shared" si="3"/>
        <v>454.72825555803973</v>
      </c>
      <c r="H50" s="34">
        <f t="shared" si="4"/>
        <v>0.043343300383849696</v>
      </c>
    </row>
    <row r="51" spans="1:8" ht="12.75">
      <c r="A51" s="33">
        <v>38136</v>
      </c>
      <c r="B51" s="2">
        <v>45</v>
      </c>
      <c r="C51" s="34">
        <v>585.8</v>
      </c>
      <c r="D51" s="34">
        <f t="shared" si="0"/>
        <v>6.372978434393633</v>
      </c>
      <c r="E51" s="34">
        <f t="shared" si="1"/>
        <v>6.1337</v>
      </c>
      <c r="F51" s="34">
        <f t="shared" si="2"/>
        <v>0.057254169165868</v>
      </c>
      <c r="G51" s="34">
        <f t="shared" si="3"/>
        <v>461.139223197197</v>
      </c>
      <c r="H51" s="34">
        <f t="shared" si="4"/>
        <v>0.04528568307657655</v>
      </c>
    </row>
    <row r="52" spans="1:8" ht="12.75">
      <c r="A52" s="33">
        <v>38167</v>
      </c>
      <c r="B52" s="2">
        <v>46</v>
      </c>
      <c r="C52" s="34">
        <v>526.42</v>
      </c>
      <c r="D52" s="34">
        <f t="shared" si="0"/>
        <v>6.266099373210329</v>
      </c>
      <c r="E52" s="34">
        <f t="shared" si="1"/>
        <v>6.1477</v>
      </c>
      <c r="F52" s="34">
        <f t="shared" si="2"/>
        <v>0.01401841157659867</v>
      </c>
      <c r="G52" s="34">
        <f t="shared" si="3"/>
        <v>467.64057560037094</v>
      </c>
      <c r="H52" s="34">
        <f t="shared" si="4"/>
        <v>0.01246768715233811</v>
      </c>
    </row>
    <row r="53" spans="1:8" ht="12.75">
      <c r="A53" s="33">
        <v>38198</v>
      </c>
      <c r="B53" s="2">
        <v>47</v>
      </c>
      <c r="C53" s="34">
        <v>473.75</v>
      </c>
      <c r="D53" s="34">
        <f t="shared" si="0"/>
        <v>6.160679756396636</v>
      </c>
      <c r="E53" s="34">
        <f t="shared" si="1"/>
        <v>6.161700000000001</v>
      </c>
      <c r="F53" s="34">
        <f t="shared" si="2"/>
        <v>1.0408970102064084E-06</v>
      </c>
      <c r="G53" s="34">
        <f t="shared" si="3"/>
        <v>474.2335870534457</v>
      </c>
      <c r="H53" s="34">
        <f t="shared" si="4"/>
        <v>1.0419596110203195E-06</v>
      </c>
    </row>
    <row r="54" spans="1:8" ht="12.75">
      <c r="A54" s="33">
        <v>38227</v>
      </c>
      <c r="B54" s="2">
        <v>48</v>
      </c>
      <c r="C54" s="34">
        <v>463.29</v>
      </c>
      <c r="D54" s="34">
        <f t="shared" si="0"/>
        <v>6.13835320790302</v>
      </c>
      <c r="E54" s="34">
        <f aca="true" t="shared" si="5" ref="E54:E66">$C$73+$C$74*B54</f>
        <v>6.1757</v>
      </c>
      <c r="F54" s="34">
        <f aca="true" t="shared" si="6" ref="F54:F66">(E54-D54)^2</f>
        <v>0.0013947828799350725</v>
      </c>
      <c r="G54" s="34">
        <f aca="true" t="shared" si="7" ref="G54:G66">$F$73*EXP($C$74*B54)</f>
        <v>480.9195498077727</v>
      </c>
      <c r="H54" s="34">
        <f aca="true" t="shared" si="8" ref="H54:H66">(G54/C54-1)^2</f>
        <v>0.0014480267740940669</v>
      </c>
    </row>
    <row r="55" spans="1:8" ht="12.75">
      <c r="A55" s="33">
        <v>38259</v>
      </c>
      <c r="B55" s="2">
        <v>49</v>
      </c>
      <c r="C55" s="34">
        <v>400.52</v>
      </c>
      <c r="D55" s="34">
        <f t="shared" si="0"/>
        <v>5.992763702839602</v>
      </c>
      <c r="E55" s="34">
        <f t="shared" si="5"/>
        <v>6.1897</v>
      </c>
      <c r="F55" s="34">
        <f t="shared" si="6"/>
        <v>0.03878390513924879</v>
      </c>
      <c r="G55" s="34">
        <f t="shared" si="7"/>
        <v>487.69977433345576</v>
      </c>
      <c r="H55" s="34">
        <f t="shared" si="8"/>
        <v>0.04737869191124312</v>
      </c>
    </row>
    <row r="56" spans="1:8" ht="12.75">
      <c r="A56" s="33">
        <v>38290</v>
      </c>
      <c r="B56" s="2">
        <v>50</v>
      </c>
      <c r="C56" s="34">
        <v>359.36</v>
      </c>
      <c r="D56" s="34">
        <f t="shared" si="0"/>
        <v>5.884324671550078</v>
      </c>
      <c r="E56" s="34">
        <f t="shared" si="5"/>
        <v>6.2037</v>
      </c>
      <c r="F56" s="34">
        <f t="shared" si="6"/>
        <v>0.10200060042249577</v>
      </c>
      <c r="G56" s="34">
        <f t="shared" si="7"/>
        <v>494.57558957620796</v>
      </c>
      <c r="H56" s="34">
        <f t="shared" si="8"/>
        <v>0.14157744259156801</v>
      </c>
    </row>
    <row r="57" spans="1:8" ht="12.75">
      <c r="A57" s="33">
        <v>38318</v>
      </c>
      <c r="B57" s="2">
        <v>51</v>
      </c>
      <c r="C57" s="34">
        <v>292.96</v>
      </c>
      <c r="D57" s="34">
        <f t="shared" si="0"/>
        <v>5.6800360809262</v>
      </c>
      <c r="E57" s="34">
        <f t="shared" si="5"/>
        <v>6.217700000000001</v>
      </c>
      <c r="F57" s="34">
        <f t="shared" si="6"/>
        <v>0.2890824898737982</v>
      </c>
      <c r="G57" s="34">
        <f t="shared" si="7"/>
        <v>501.5483432178287</v>
      </c>
      <c r="H57" s="34">
        <f t="shared" si="8"/>
        <v>0.5069480014490079</v>
      </c>
    </row>
    <row r="58" spans="1:8" ht="12.75">
      <c r="A58" s="33">
        <v>38351</v>
      </c>
      <c r="B58" s="2">
        <v>52</v>
      </c>
      <c r="C58" s="34">
        <v>307.65</v>
      </c>
      <c r="D58" s="34">
        <f t="shared" si="0"/>
        <v>5.728962773186499</v>
      </c>
      <c r="E58" s="34">
        <f t="shared" si="5"/>
        <v>6.2317</v>
      </c>
      <c r="F58" s="34">
        <f t="shared" si="6"/>
        <v>0.2527447192241296</v>
      </c>
      <c r="G58" s="34">
        <f t="shared" si="7"/>
        <v>508.6194019403541</v>
      </c>
      <c r="H58" s="34">
        <f t="shared" si="8"/>
        <v>0.4267229899575415</v>
      </c>
    </row>
    <row r="59" spans="1:10" ht="12.75">
      <c r="A59" s="33">
        <v>38381</v>
      </c>
      <c r="B59" s="2">
        <v>53</v>
      </c>
      <c r="C59" s="34">
        <v>338.53</v>
      </c>
      <c r="D59" s="34">
        <f t="shared" si="0"/>
        <v>5.824612714717719</v>
      </c>
      <c r="E59" s="34">
        <f t="shared" si="5"/>
        <v>6.2457</v>
      </c>
      <c r="F59" s="34">
        <f t="shared" si="6"/>
        <v>0.1773145018264014</v>
      </c>
      <c r="G59" s="34">
        <f t="shared" si="7"/>
        <v>515.7901516939309</v>
      </c>
      <c r="H59" s="34">
        <f t="shared" si="8"/>
        <v>0.27417503703056767</v>
      </c>
      <c r="J59" s="22" t="s">
        <v>51</v>
      </c>
    </row>
    <row r="60" spans="1:8" ht="12.75">
      <c r="A60" s="33">
        <v>38409</v>
      </c>
      <c r="B60" s="2">
        <v>54</v>
      </c>
      <c r="C60" s="34">
        <v>337.99</v>
      </c>
      <c r="D60" s="34">
        <f t="shared" si="0"/>
        <v>5.823016309246534</v>
      </c>
      <c r="E60" s="34">
        <f t="shared" si="5"/>
        <v>6.2597000000000005</v>
      </c>
      <c r="F60" s="34">
        <f t="shared" si="6"/>
        <v>0.19069264577006903</v>
      </c>
      <c r="G60" s="34">
        <f t="shared" si="7"/>
        <v>523.0619979684665</v>
      </c>
      <c r="H60" s="34">
        <f t="shared" si="8"/>
        <v>0.29982906101422924</v>
      </c>
    </row>
    <row r="61" spans="1:9" ht="12.75">
      <c r="A61" s="33">
        <v>38441</v>
      </c>
      <c r="B61" s="2">
        <v>55</v>
      </c>
      <c r="C61" s="34">
        <v>348.06</v>
      </c>
      <c r="D61" s="34">
        <f t="shared" si="0"/>
        <v>5.852374878706028</v>
      </c>
      <c r="E61" s="34">
        <f t="shared" si="5"/>
        <v>6.2737</v>
      </c>
      <c r="F61" s="34">
        <f t="shared" si="6"/>
        <v>0.17751485783337997</v>
      </c>
      <c r="G61" s="34">
        <f t="shared" si="7"/>
        <v>530.4363660691107</v>
      </c>
      <c r="H61" s="34">
        <f t="shared" si="8"/>
        <v>0.27455470098315743</v>
      </c>
      <c r="I61" t="s">
        <v>52</v>
      </c>
    </row>
    <row r="62" spans="1:8" ht="13.5" thickBot="1">
      <c r="A62" s="33">
        <v>38471</v>
      </c>
      <c r="B62" s="2">
        <v>56</v>
      </c>
      <c r="C62" s="34">
        <v>395.97</v>
      </c>
      <c r="D62" s="34">
        <f t="shared" si="0"/>
        <v>5.981338450808973</v>
      </c>
      <c r="E62" s="34">
        <f t="shared" si="5"/>
        <v>6.2877</v>
      </c>
      <c r="F62" s="34">
        <f t="shared" si="6"/>
        <v>0.09385739882272591</v>
      </c>
      <c r="G62" s="34">
        <f t="shared" si="7"/>
        <v>537.9147013956191</v>
      </c>
      <c r="H62" s="34">
        <f t="shared" si="8"/>
        <v>0.12850315894867387</v>
      </c>
    </row>
    <row r="63" spans="1:10" ht="12.75">
      <c r="A63" s="33">
        <v>38500</v>
      </c>
      <c r="B63" s="2">
        <v>57</v>
      </c>
      <c r="C63" s="34">
        <v>417.23</v>
      </c>
      <c r="D63" s="34">
        <f t="shared" si="0"/>
        <v>6.033637628499178</v>
      </c>
      <c r="E63" s="34">
        <f t="shared" si="5"/>
        <v>6.3017</v>
      </c>
      <c r="F63" s="34">
        <f t="shared" si="6"/>
        <v>0.07185743501464502</v>
      </c>
      <c r="G63" s="34">
        <f t="shared" si="7"/>
        <v>545.4984697256566</v>
      </c>
      <c r="H63" s="34">
        <f t="shared" si="8"/>
        <v>0.09451239559910127</v>
      </c>
      <c r="I63" s="48" t="s">
        <v>53</v>
      </c>
      <c r="J63" s="48"/>
    </row>
    <row r="64" spans="1:10" ht="12.75">
      <c r="A64" s="33">
        <v>38532</v>
      </c>
      <c r="B64" s="2">
        <v>58</v>
      </c>
      <c r="C64" s="34">
        <v>421.59</v>
      </c>
      <c r="D64" s="34">
        <f t="shared" si="0"/>
        <v>6.0440332777807635</v>
      </c>
      <c r="E64" s="34">
        <f t="shared" si="5"/>
        <v>6.3157000000000005</v>
      </c>
      <c r="F64" s="34">
        <f t="shared" si="6"/>
        <v>0.0738028079613441</v>
      </c>
      <c r="G64" s="34">
        <f t="shared" si="7"/>
        <v>553.1891575020942</v>
      </c>
      <c r="H64" s="34">
        <f t="shared" si="8"/>
        <v>0.0974373840908084</v>
      </c>
      <c r="I64" s="45" t="s">
        <v>55</v>
      </c>
      <c r="J64" s="45">
        <v>0.6262355456404626</v>
      </c>
    </row>
    <row r="65" spans="1:10" ht="12.75">
      <c r="A65" s="33">
        <v>38563</v>
      </c>
      <c r="B65" s="2">
        <v>59</v>
      </c>
      <c r="C65" s="34">
        <v>443.05</v>
      </c>
      <c r="D65" s="34">
        <f t="shared" si="0"/>
        <v>6.093682630493311</v>
      </c>
      <c r="E65" s="34">
        <f t="shared" si="5"/>
        <v>6.329700000000001</v>
      </c>
      <c r="F65" s="34">
        <f t="shared" si="6"/>
        <v>0.05570419870885726</v>
      </c>
      <c r="G65" s="34">
        <f t="shared" si="7"/>
        <v>560.9882721243566</v>
      </c>
      <c r="H65" s="34">
        <f t="shared" si="8"/>
        <v>0.07086047182724835</v>
      </c>
      <c r="I65" s="45" t="s">
        <v>56</v>
      </c>
      <c r="J65" s="45">
        <v>0.39217095862360785</v>
      </c>
    </row>
    <row r="66" spans="1:10" ht="12.75">
      <c r="A66" s="33">
        <v>38594</v>
      </c>
      <c r="B66" s="2">
        <v>60</v>
      </c>
      <c r="C66" s="34">
        <v>461.67</v>
      </c>
      <c r="D66" s="34">
        <f t="shared" si="0"/>
        <v>6.1348503501438705</v>
      </c>
      <c r="E66" s="34">
        <f t="shared" si="5"/>
        <v>6.3437</v>
      </c>
      <c r="F66" s="34">
        <f t="shared" si="6"/>
        <v>0.04361817624502795</v>
      </c>
      <c r="G66" s="34">
        <f t="shared" si="7"/>
        <v>568.8973422438776</v>
      </c>
      <c r="H66" s="34">
        <f t="shared" si="8"/>
        <v>0.05394457482936234</v>
      </c>
      <c r="I66" s="45" t="s">
        <v>57</v>
      </c>
      <c r="J66" s="45">
        <v>0.38186877148163506</v>
      </c>
    </row>
    <row r="67" spans="1:10" ht="12.75">
      <c r="A67" s="31"/>
      <c r="G67" s="29"/>
      <c r="H67" s="29"/>
      <c r="I67" s="45" t="s">
        <v>58</v>
      </c>
      <c r="J67" s="45">
        <v>0.3130051934188262</v>
      </c>
    </row>
    <row r="68" spans="1:10" ht="13.5" thickBot="1">
      <c r="A68" s="35" t="s">
        <v>49</v>
      </c>
      <c r="G68" s="29"/>
      <c r="H68" s="29"/>
      <c r="I68" s="46" t="s">
        <v>59</v>
      </c>
      <c r="J68" s="46">
        <v>61</v>
      </c>
    </row>
    <row r="69" spans="7:8" ht="12.75">
      <c r="G69" s="29"/>
      <c r="H69" s="29"/>
    </row>
    <row r="70" spans="1:9" ht="13.5" thickBot="1">
      <c r="A70" s="22" t="s">
        <v>50</v>
      </c>
      <c r="G70" s="29"/>
      <c r="H70" s="29"/>
      <c r="I70" t="s">
        <v>60</v>
      </c>
    </row>
    <row r="71" spans="7:14" ht="12.75">
      <c r="G71" s="29"/>
      <c r="H71" s="29"/>
      <c r="I71" s="47"/>
      <c r="J71" s="47" t="s">
        <v>62</v>
      </c>
      <c r="K71" s="47" t="s">
        <v>63</v>
      </c>
      <c r="L71" s="47" t="s">
        <v>64</v>
      </c>
      <c r="M71" s="47" t="s">
        <v>65</v>
      </c>
      <c r="N71" s="47" t="s">
        <v>66</v>
      </c>
    </row>
    <row r="72" spans="1:14" ht="12.75">
      <c r="A72" s="36" t="s">
        <v>34</v>
      </c>
      <c r="I72" s="45" t="s">
        <v>67</v>
      </c>
      <c r="J72" s="45">
        <v>1</v>
      </c>
      <c r="K72" s="45">
        <v>3.729486865819948</v>
      </c>
      <c r="L72" s="45">
        <v>3.729486865819948</v>
      </c>
      <c r="M72" s="45">
        <v>38.066767106747754</v>
      </c>
      <c r="N72" s="45">
        <v>6.74621878689885E-08</v>
      </c>
    </row>
    <row r="73" spans="1:14" ht="14.25">
      <c r="A73" t="s">
        <v>35</v>
      </c>
      <c r="C73" s="22">
        <v>5.5037</v>
      </c>
      <c r="D73" s="28" t="s">
        <v>39</v>
      </c>
      <c r="E73" s="28"/>
      <c r="F73" s="37">
        <f>EXP(C73)</f>
        <v>245.5989693975167</v>
      </c>
      <c r="I73" s="45" t="s">
        <v>69</v>
      </c>
      <c r="J73" s="45">
        <v>59</v>
      </c>
      <c r="K73" s="45">
        <v>5.780362815322252</v>
      </c>
      <c r="L73" s="45">
        <v>0.09797225110715681</v>
      </c>
      <c r="M73" s="45"/>
      <c r="N73" s="45"/>
    </row>
    <row r="74" spans="1:14" ht="13.5" thickBot="1">
      <c r="A74" s="38" t="s">
        <v>40</v>
      </c>
      <c r="C74" s="39">
        <v>0.014</v>
      </c>
      <c r="D74" s="30" t="s">
        <v>36</v>
      </c>
      <c r="E74" s="30"/>
      <c r="I74" s="46" t="s">
        <v>71</v>
      </c>
      <c r="J74" s="46">
        <v>60</v>
      </c>
      <c r="K74" s="46">
        <v>9.5098496811422</v>
      </c>
      <c r="L74" s="46"/>
      <c r="M74" s="46"/>
      <c r="N74" s="46"/>
    </row>
    <row r="75" spans="4:5" ht="13.5" thickBot="1">
      <c r="D75" s="22" t="s">
        <v>37</v>
      </c>
      <c r="E75" s="22"/>
    </row>
    <row r="76" spans="9:17" ht="12.75">
      <c r="I76" s="47"/>
      <c r="J76" s="47" t="s">
        <v>73</v>
      </c>
      <c r="K76" s="47" t="s">
        <v>58</v>
      </c>
      <c r="L76" s="47" t="s">
        <v>74</v>
      </c>
      <c r="M76" s="47" t="s">
        <v>75</v>
      </c>
      <c r="N76" s="47" t="s">
        <v>76</v>
      </c>
      <c r="O76" s="47" t="s">
        <v>77</v>
      </c>
      <c r="P76" s="47" t="s">
        <v>78</v>
      </c>
      <c r="Q76" s="47" t="s">
        <v>79</v>
      </c>
    </row>
    <row r="77" spans="1:17" ht="12.75">
      <c r="A77" s="22" t="s">
        <v>54</v>
      </c>
      <c r="I77" s="45" t="s">
        <v>81</v>
      </c>
      <c r="J77" s="45">
        <v>5.5036908240408025</v>
      </c>
      <c r="K77" s="45">
        <v>0.07917689458852352</v>
      </c>
      <c r="L77" s="45">
        <v>69.51132464392646</v>
      </c>
      <c r="M77" s="45">
        <v>2.6338202892327913E-58</v>
      </c>
      <c r="N77" s="45">
        <v>5.345258225256513</v>
      </c>
      <c r="O77" s="45">
        <v>5.662123422825092</v>
      </c>
      <c r="P77" s="45">
        <v>5.345258225256513</v>
      </c>
      <c r="Q77" s="45">
        <v>5.662123422825092</v>
      </c>
    </row>
    <row r="78" spans="9:17" ht="13.5" thickBot="1">
      <c r="I78" s="46" t="s">
        <v>83</v>
      </c>
      <c r="J78" s="46">
        <v>0.014043610526001704</v>
      </c>
      <c r="K78" s="46">
        <v>0.002276175681443587</v>
      </c>
      <c r="L78" s="46">
        <v>6.169827153717336</v>
      </c>
      <c r="M78" s="46">
        <v>6.74621878689885E-08</v>
      </c>
      <c r="N78" s="46">
        <v>0.009488993546201908</v>
      </c>
      <c r="O78" s="46">
        <v>0.0185982275058015</v>
      </c>
      <c r="P78" s="46">
        <v>0.009488993546201908</v>
      </c>
      <c r="Q78" s="46">
        <v>0.0185982275058015</v>
      </c>
    </row>
    <row r="79" ht="12.75">
      <c r="A79" s="36" t="s">
        <v>34</v>
      </c>
    </row>
    <row r="80" spans="1:6" ht="14.25">
      <c r="A80" t="s">
        <v>35</v>
      </c>
      <c r="C80" s="40">
        <f>J77</f>
        <v>5.5036908240408025</v>
      </c>
      <c r="D80" s="28" t="s">
        <v>39</v>
      </c>
      <c r="F80" s="41">
        <f>EXP(C80)</f>
        <v>245.59671580173395</v>
      </c>
    </row>
    <row r="81" spans="1:4" ht="12.75">
      <c r="A81" s="42" t="s">
        <v>90</v>
      </c>
      <c r="C81" s="39">
        <f>J78</f>
        <v>0.014043610526001704</v>
      </c>
      <c r="D81" s="30" t="s">
        <v>36</v>
      </c>
    </row>
    <row r="82" ht="12.75">
      <c r="D82" s="22" t="s">
        <v>37</v>
      </c>
    </row>
    <row r="83" ht="12.75">
      <c r="E83" s="26"/>
    </row>
    <row r="84" ht="12.75">
      <c r="A84" s="35" t="s">
        <v>61</v>
      </c>
    </row>
    <row r="85" ht="12.75"/>
    <row r="86" spans="1:3" ht="12.75">
      <c r="A86" s="38" t="s">
        <v>68</v>
      </c>
      <c r="B86" s="43">
        <f>SUM(F6:F66)</f>
        <v>5.780501733455537</v>
      </c>
      <c r="C86" s="43">
        <f>SUM(H6:H66)</f>
        <v>7.905928443604917</v>
      </c>
    </row>
    <row r="87" spans="1:3" ht="12.75">
      <c r="A87" s="38" t="s">
        <v>70</v>
      </c>
      <c r="B87" s="43">
        <f>B86/(J68-2)</f>
        <v>0.09797460565178877</v>
      </c>
      <c r="C87" s="43">
        <f>C86/(J68-2)</f>
        <v>0.13399878717974434</v>
      </c>
    </row>
    <row r="88" spans="1:3" ht="12.75">
      <c r="A88" s="38" t="s">
        <v>72</v>
      </c>
      <c r="B88" s="44">
        <f>SQRT(B87)</f>
        <v>0.31300895458722705</v>
      </c>
      <c r="C88" s="44">
        <f>SQRT(C87)</f>
        <v>0.3660584477644852</v>
      </c>
    </row>
    <row r="89" ht="12.75"/>
    <row r="90" ht="12.75">
      <c r="A90" s="23" t="s">
        <v>80</v>
      </c>
    </row>
    <row r="91" ht="12.75">
      <c r="A91" s="23" t="s">
        <v>82</v>
      </c>
    </row>
    <row r="92" ht="12.75">
      <c r="A92" t="s">
        <v>84</v>
      </c>
    </row>
    <row r="93" ht="12.75">
      <c r="A93" s="23" t="s">
        <v>44</v>
      </c>
    </row>
    <row r="94" ht="12.75">
      <c r="A94" s="23" t="s">
        <v>45</v>
      </c>
    </row>
    <row r="95" ht="12.75">
      <c r="A95" s="23" t="s">
        <v>85</v>
      </c>
    </row>
    <row r="96" ht="12.75">
      <c r="A96" s="23" t="s">
        <v>46</v>
      </c>
    </row>
    <row r="97" ht="12.75">
      <c r="A97" s="23" t="s">
        <v>47</v>
      </c>
    </row>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
      <c r="A118" t="s">
        <v>86</v>
      </c>
    </row>
  </sheetData>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D13"/>
  <sheetViews>
    <sheetView workbookViewId="0" topLeftCell="A1">
      <selection activeCell="F25" sqref="F25"/>
    </sheetView>
  </sheetViews>
  <sheetFormatPr defaultColWidth="11.421875" defaultRowHeight="12.75"/>
  <cols>
    <col min="1" max="1" width="11.00390625" style="0" bestFit="1" customWidth="1"/>
    <col min="2" max="2" width="11.7109375" style="0" bestFit="1" customWidth="1"/>
    <col min="3" max="3" width="30.00390625" style="0" customWidth="1"/>
    <col min="4" max="4" width="31.140625" style="0" customWidth="1"/>
    <col min="5" max="16384" width="8.8515625" style="0" customWidth="1"/>
  </cols>
  <sheetData>
    <row r="1" spans="1:4" s="7" customFormat="1" ht="27.75" customHeight="1">
      <c r="A1" s="7" t="s">
        <v>93</v>
      </c>
      <c r="B1" s="7" t="s">
        <v>94</v>
      </c>
      <c r="C1" s="7" t="s">
        <v>95</v>
      </c>
      <c r="D1" s="7" t="s">
        <v>96</v>
      </c>
    </row>
    <row r="2" spans="1:4" ht="12">
      <c r="A2" s="19" t="s">
        <v>9</v>
      </c>
      <c r="B2" s="6">
        <f>GOOG!C66</f>
        <v>461.67</v>
      </c>
      <c r="C2" s="2">
        <f ca="1">NORMINV(RAND(),0,1)</f>
        <v>0.8996129147441527</v>
      </c>
      <c r="D2" s="18">
        <f>drift+vol*C2</f>
        <v>0.2955868979772355</v>
      </c>
    </row>
    <row r="3" spans="1:4" ht="12">
      <c r="A3" s="19" t="s">
        <v>10</v>
      </c>
      <c r="B3" s="6">
        <f>B2*(1+D2)</f>
        <v>598.1336031891502</v>
      </c>
      <c r="C3" s="2">
        <f ca="1">NORMINV(RAND(),0,1)</f>
        <v>0.1705538150310415</v>
      </c>
      <c r="D3" s="18">
        <f aca="true" t="shared" si="0" ref="D3:D13">drift+vol*C3</f>
        <v>0.0673848713437296</v>
      </c>
    </row>
    <row r="4" spans="1:4" ht="12">
      <c r="A4" s="19" t="s">
        <v>11</v>
      </c>
      <c r="B4" s="6">
        <f>B3*(1+D3)</f>
        <v>638.4387590864125</v>
      </c>
      <c r="C4" s="2">
        <f ca="1">NORMINV(RAND(),0,1)</f>
        <v>0.1135085517441452</v>
      </c>
      <c r="D4" s="18">
        <f t="shared" si="0"/>
        <v>0.049529193118145055</v>
      </c>
    </row>
    <row r="5" spans="1:4" ht="12">
      <c r="A5" s="19" t="s">
        <v>12</v>
      </c>
      <c r="B5" s="6">
        <f>B4*(1+D4)</f>
        <v>670.0601156793122</v>
      </c>
      <c r="C5" s="2">
        <f ca="1">NORMINV(RAND(),0,1)</f>
        <v>0.8394907879961333</v>
      </c>
      <c r="D5" s="18">
        <f t="shared" si="0"/>
        <v>0.27676813393627714</v>
      </c>
    </row>
    <row r="6" spans="1:4" ht="12">
      <c r="A6" s="19" t="s">
        <v>13</v>
      </c>
      <c r="B6" s="6">
        <f>B5*(1+D5)</f>
        <v>855.5114035210014</v>
      </c>
      <c r="C6" s="2">
        <f ca="1">NORMINV(RAND(),0,1)</f>
        <v>0.6212268496670468</v>
      </c>
      <c r="D6" s="18">
        <f t="shared" si="0"/>
        <v>0.2084495667757988</v>
      </c>
    </row>
    <row r="7" spans="1:4" ht="12">
      <c r="A7" s="19" t="s">
        <v>14</v>
      </c>
      <c r="B7" s="6">
        <f aca="true" t="shared" si="1" ref="B7:B13">B6*(1+D6)</f>
        <v>1033.8423849567098</v>
      </c>
      <c r="C7" s="2">
        <f aca="true" ca="1" t="shared" si="2" ref="C7:C13">NORMINV(RAND(),0,1)</f>
        <v>-0.07504182701329146</v>
      </c>
      <c r="D7" s="18">
        <f t="shared" si="0"/>
        <v>-0.009488763823745893</v>
      </c>
    </row>
    <row r="8" spans="1:4" ht="12">
      <c r="A8" s="19" t="s">
        <v>15</v>
      </c>
      <c r="B8" s="6">
        <f t="shared" si="1"/>
        <v>1024.0324987348774</v>
      </c>
      <c r="C8" s="2">
        <f ca="1" t="shared" si="2"/>
        <v>-0.11391879866727672</v>
      </c>
      <c r="D8" s="18">
        <f t="shared" si="0"/>
        <v>-0.021657604078677083</v>
      </c>
    </row>
    <row r="9" spans="1:4" ht="12">
      <c r="A9" s="19" t="s">
        <v>16</v>
      </c>
      <c r="B9" s="6">
        <f t="shared" si="1"/>
        <v>1001.854408313579</v>
      </c>
      <c r="C9" s="2">
        <f ca="1" t="shared" si="2"/>
        <v>-0.07850532380851719</v>
      </c>
      <c r="D9" s="18">
        <f t="shared" si="0"/>
        <v>-0.010572869334835712</v>
      </c>
    </row>
    <row r="10" spans="1:4" ht="12">
      <c r="A10" s="19" t="s">
        <v>17</v>
      </c>
      <c r="B10" s="6">
        <f t="shared" si="1"/>
        <v>991.2619325619504</v>
      </c>
      <c r="C10" s="2">
        <f ca="1" t="shared" si="2"/>
        <v>0.7542810657056134</v>
      </c>
      <c r="D10" s="18">
        <f t="shared" si="0"/>
        <v>0.25009672784145354</v>
      </c>
    </row>
    <row r="11" spans="1:4" ht="12">
      <c r="A11" s="19" t="s">
        <v>18</v>
      </c>
      <c r="B11" s="6">
        <f t="shared" si="1"/>
        <v>1239.1732983294896</v>
      </c>
      <c r="C11" s="2">
        <f ca="1" t="shared" si="2"/>
        <v>-0.2980139532308057</v>
      </c>
      <c r="D11" s="18">
        <f t="shared" si="0"/>
        <v>-0.07928103595318127</v>
      </c>
    </row>
    <row r="12" spans="1:4" ht="12">
      <c r="A12" s="19" t="s">
        <v>19</v>
      </c>
      <c r="B12" s="6">
        <f t="shared" si="1"/>
        <v>1140.9303555124072</v>
      </c>
      <c r="C12" s="2">
        <f ca="1" t="shared" si="2"/>
        <v>-0.8085406827705028</v>
      </c>
      <c r="D12" s="18">
        <f t="shared" si="0"/>
        <v>-0.23908047385523784</v>
      </c>
    </row>
    <row r="13" spans="1:4" ht="12">
      <c r="A13" s="19" t="s">
        <v>20</v>
      </c>
      <c r="B13" s="6">
        <f t="shared" si="1"/>
        <v>868.1561854806758</v>
      </c>
      <c r="C13" s="2">
        <f ca="1" t="shared" si="2"/>
        <v>0.3956818667940113</v>
      </c>
      <c r="D13" s="18">
        <f t="shared" si="0"/>
        <v>0.1378519674743159</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H12"/>
  <sheetViews>
    <sheetView workbookViewId="0" topLeftCell="A1">
      <selection activeCell="D2" sqref="D2"/>
    </sheetView>
  </sheetViews>
  <sheetFormatPr defaultColWidth="11.421875" defaultRowHeight="12.75"/>
  <cols>
    <col min="1" max="1" width="8.8515625" style="0" customWidth="1"/>
    <col min="3" max="3" width="33.28125" style="0" customWidth="1"/>
    <col min="4" max="4" width="34.7109375" style="0" customWidth="1"/>
    <col min="5" max="16384" width="8.8515625" style="0" customWidth="1"/>
  </cols>
  <sheetData>
    <row r="1" spans="1:4" s="7" customFormat="1" ht="24">
      <c r="A1" s="7" t="s">
        <v>93</v>
      </c>
      <c r="B1" s="7" t="s">
        <v>97</v>
      </c>
      <c r="C1" s="7" t="s">
        <v>95</v>
      </c>
      <c r="D1" s="7" t="s">
        <v>98</v>
      </c>
    </row>
    <row r="2" spans="1:8" ht="12">
      <c r="A2" s="4">
        <v>2006</v>
      </c>
      <c r="B2" s="20">
        <v>0.0425</v>
      </c>
      <c r="C2" s="2">
        <f ca="1">NORMINV(RAND(),0,1)</f>
        <v>-0.15053026844129597</v>
      </c>
      <c r="D2" s="2">
        <f>$H$2*($H$3-B2)+C2*$H$4</f>
        <v>0.005992045973380562</v>
      </c>
      <c r="F2" t="s">
        <v>21</v>
      </c>
      <c r="H2" s="16">
        <v>0.3</v>
      </c>
    </row>
    <row r="3" spans="1:8" ht="12">
      <c r="A3" s="4">
        <v>2007</v>
      </c>
      <c r="B3" s="10">
        <f>B2+D2</f>
        <v>0.04849204597338057</v>
      </c>
      <c r="C3" s="2">
        <f ca="1">NORMINV(RAND(),0,1)</f>
        <v>-0.3800826746460043</v>
      </c>
      <c r="D3" s="2">
        <f>$H$2*($H$3-B3)+C3*$H$4</f>
        <v>0.0007511460882957668</v>
      </c>
      <c r="F3" t="s">
        <v>22</v>
      </c>
      <c r="H3" s="17">
        <v>0.07</v>
      </c>
    </row>
    <row r="4" spans="1:8" ht="12">
      <c r="A4" s="4">
        <v>2008</v>
      </c>
      <c r="B4" s="10">
        <f>B3+D3</f>
        <v>0.049243192061676336</v>
      </c>
      <c r="C4" s="2">
        <f ca="1">NORMINV(RAND(),0,1)</f>
        <v>-0.9913079724972338</v>
      </c>
      <c r="D4" s="2">
        <f>$H$2*($H$3-B4)+C4*$H$4</f>
        <v>-0.008642577205961406</v>
      </c>
      <c r="F4" t="s">
        <v>23</v>
      </c>
      <c r="H4" s="17">
        <v>0.015</v>
      </c>
    </row>
    <row r="5" spans="1:4" ht="12">
      <c r="A5" s="4">
        <v>2009</v>
      </c>
      <c r="B5" s="10">
        <f>B4+D4</f>
        <v>0.04060061485571493</v>
      </c>
      <c r="C5" s="2">
        <f ca="1">NORMINV(RAND(),0,1)</f>
        <v>1.636934400144356</v>
      </c>
      <c r="D5" s="2">
        <f>$H$2*($H$3-B5)+C5*$H$4</f>
        <v>0.03337383154545086</v>
      </c>
    </row>
    <row r="6" spans="1:4" ht="12">
      <c r="A6" s="4">
        <v>2010</v>
      </c>
      <c r="B6" s="10">
        <f>B5+D5</f>
        <v>0.0739744464011658</v>
      </c>
      <c r="C6" s="2">
        <f ca="1">NORMINV(RAND(),0,1)</f>
        <v>-0.10230825868155541</v>
      </c>
      <c r="D6" s="2">
        <f>$H$2*($H$3-B6)+C6*$H$4</f>
        <v>-0.0027269578005730674</v>
      </c>
    </row>
    <row r="7" spans="1:4" ht="12">
      <c r="A7" s="4">
        <v>2011</v>
      </c>
      <c r="B7" s="10">
        <f aca="true" t="shared" si="0" ref="B7:B12">B6+D6</f>
        <v>0.07124748860059273</v>
      </c>
      <c r="C7" s="2">
        <f aca="true" ca="1" t="shared" si="1" ref="C7:C12">NORMINV(RAND(),0,1)</f>
        <v>-0.5802642278633852</v>
      </c>
      <c r="D7" s="2">
        <f aca="true" t="shared" si="2" ref="D7:D12">$H$2*($H$3-B7)+C7*$H$4</f>
        <v>-0.009078209998128592</v>
      </c>
    </row>
    <row r="8" spans="1:4" ht="12">
      <c r="A8" s="4">
        <v>2012</v>
      </c>
      <c r="B8" s="10">
        <f t="shared" si="0"/>
        <v>0.062169278602464136</v>
      </c>
      <c r="C8" s="2">
        <f ca="1" t="shared" si="1"/>
        <v>-1.3306470722097563</v>
      </c>
      <c r="D8" s="2">
        <f t="shared" si="2"/>
        <v>-0.017610489663885582</v>
      </c>
    </row>
    <row r="9" spans="1:4" ht="12">
      <c r="A9" s="4">
        <v>2013</v>
      </c>
      <c r="B9" s="10">
        <f t="shared" si="0"/>
        <v>0.04455878893857855</v>
      </c>
      <c r="C9" s="2">
        <f ca="1" t="shared" si="1"/>
        <v>1.88286705506321</v>
      </c>
      <c r="D9" s="2">
        <f t="shared" si="2"/>
        <v>0.035875369144374586</v>
      </c>
    </row>
    <row r="10" spans="1:4" ht="12">
      <c r="A10" s="4">
        <v>2014</v>
      </c>
      <c r="B10" s="10">
        <f t="shared" si="0"/>
        <v>0.08043415808295314</v>
      </c>
      <c r="C10" s="2">
        <f ca="1" t="shared" si="1"/>
        <v>-1.944880634012888</v>
      </c>
      <c r="D10" s="2">
        <f t="shared" si="2"/>
        <v>-0.03230345693507926</v>
      </c>
    </row>
    <row r="11" spans="1:4" ht="12">
      <c r="A11" s="4">
        <v>2015</v>
      </c>
      <c r="B11" s="10">
        <f t="shared" si="0"/>
        <v>0.04813070114787388</v>
      </c>
      <c r="C11" s="2">
        <f ca="1" t="shared" si="1"/>
        <v>-1.283809320694297</v>
      </c>
      <c r="D11" s="2">
        <f t="shared" si="2"/>
        <v>-0.012696350154776619</v>
      </c>
    </row>
    <row r="12" spans="1:4" ht="12">
      <c r="A12" s="4">
        <v>2016</v>
      </c>
      <c r="B12" s="10">
        <f t="shared" si="0"/>
        <v>0.03543435099309726</v>
      </c>
      <c r="C12" s="2">
        <f ca="1" t="shared" si="1"/>
        <v>-0.6670666092046369</v>
      </c>
      <c r="D12" s="2">
        <f t="shared" si="2"/>
        <v>0.00036369556400127</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H48"/>
  <sheetViews>
    <sheetView workbookViewId="0" topLeftCell="A1">
      <selection activeCell="D11" sqref="D11"/>
    </sheetView>
  </sheetViews>
  <sheetFormatPr defaultColWidth="11.421875" defaultRowHeight="12.75"/>
  <cols>
    <col min="1" max="1" width="12.8515625" style="0" customWidth="1"/>
    <col min="2" max="2" width="25.00390625" style="0" customWidth="1"/>
    <col min="3" max="3" width="21.7109375" style="0" customWidth="1"/>
    <col min="4" max="4" width="18.421875" style="0" customWidth="1"/>
    <col min="5" max="5" width="28.421875" style="0" customWidth="1"/>
    <col min="6" max="7" width="8.8515625" style="0" customWidth="1"/>
    <col min="8" max="8" width="12.28125" style="0" customWidth="1"/>
    <col min="9" max="16384" width="8.8515625" style="0" customWidth="1"/>
  </cols>
  <sheetData>
    <row r="1" ht="12.75">
      <c r="A1" s="5" t="s">
        <v>99</v>
      </c>
    </row>
    <row r="3" spans="3:4" ht="12.75">
      <c r="C3" s="5" t="s">
        <v>100</v>
      </c>
      <c r="D3" s="13">
        <v>80</v>
      </c>
    </row>
    <row r="4" spans="3:4" ht="12.75">
      <c r="C4" s="5" t="s">
        <v>25</v>
      </c>
      <c r="D4" s="13">
        <v>1600</v>
      </c>
    </row>
    <row r="5" spans="3:4" ht="12.75">
      <c r="C5" s="5" t="s">
        <v>26</v>
      </c>
      <c r="D5" s="13">
        <f>$D$4/$D$3-1</f>
        <v>19</v>
      </c>
    </row>
    <row r="6" spans="3:4" ht="12.75">
      <c r="C6" s="5" t="s">
        <v>27</v>
      </c>
      <c r="D6" s="13">
        <v>1</v>
      </c>
    </row>
    <row r="7" spans="3:4" ht="12.75">
      <c r="C7" s="5" t="s">
        <v>102</v>
      </c>
      <c r="D7" s="11">
        <v>0.1</v>
      </c>
    </row>
    <row r="8" spans="3:4" ht="12.75">
      <c r="C8" s="5" t="s">
        <v>24</v>
      </c>
      <c r="D8" s="11">
        <v>0.2</v>
      </c>
    </row>
    <row r="9" spans="3:4" ht="12.75">
      <c r="C9" s="5" t="s">
        <v>101</v>
      </c>
      <c r="D9" s="11">
        <v>0.4</v>
      </c>
    </row>
    <row r="10" spans="3:4" ht="12.75">
      <c r="C10" s="5" t="s">
        <v>28</v>
      </c>
      <c r="D10" s="11">
        <v>0.4</v>
      </c>
    </row>
    <row r="16" s="12" customFormat="1" ht="12.75"/>
    <row r="17" spans="1:4" ht="12.75">
      <c r="A17" s="5" t="s">
        <v>7</v>
      </c>
      <c r="D17" s="3"/>
    </row>
    <row r="18" spans="1:4" ht="12.75">
      <c r="A18" s="1"/>
      <c r="D18" s="3"/>
    </row>
    <row r="19" spans="2:3" ht="12.75">
      <c r="B19" s="5" t="s">
        <v>0</v>
      </c>
      <c r="C19">
        <f ca="1">(1-D8)*D3+2*D8*D3*RAND()</f>
        <v>95.71717902377713</v>
      </c>
    </row>
    <row r="20" spans="2:3" ht="12.75">
      <c r="B20" s="5" t="s">
        <v>1</v>
      </c>
      <c r="C20">
        <f ca="1">(1-D9)*D4+2*D9*D4*RAND()</f>
        <v>2035.222764275968</v>
      </c>
    </row>
    <row r="21" spans="2:3" ht="12.75">
      <c r="B21" s="5" t="s">
        <v>26</v>
      </c>
      <c r="C21">
        <f>$C$20/$C$19-1</f>
        <v>20.262878670613535</v>
      </c>
    </row>
    <row r="22" spans="2:3" ht="12.75">
      <c r="B22" s="5" t="s">
        <v>27</v>
      </c>
      <c r="C22">
        <f ca="1">(1-D10)*D6+2*D10*D6*RAND()</f>
        <v>1.0173837985545107</v>
      </c>
    </row>
    <row r="23" ht="12.75">
      <c r="B23" s="5"/>
    </row>
    <row r="24" spans="2:8" s="9" customFormat="1" ht="51">
      <c r="B24" s="7" t="s">
        <v>92</v>
      </c>
      <c r="C24" s="7" t="s">
        <v>2</v>
      </c>
      <c r="D24" s="7" t="s">
        <v>3</v>
      </c>
      <c r="E24" s="7" t="s">
        <v>5</v>
      </c>
      <c r="F24" s="7" t="s">
        <v>4</v>
      </c>
      <c r="G24" s="7" t="s">
        <v>6</v>
      </c>
      <c r="H24" s="7" t="s">
        <v>29</v>
      </c>
    </row>
    <row r="25" spans="2:8" ht="12.75">
      <c r="B25">
        <v>0</v>
      </c>
      <c r="C25">
        <f>$C$20/(1+$C$21*EXP(-$C$22*B25))</f>
        <v>95.71717902377713</v>
      </c>
      <c r="G25">
        <f>C25</f>
        <v>95.71717902377713</v>
      </c>
      <c r="H25">
        <f>$D$4/(1+$D$5*EXP(-$D$6*B25))</f>
        <v>80</v>
      </c>
    </row>
    <row r="26" spans="2:8" ht="12.75">
      <c r="B26">
        <v>1</v>
      </c>
      <c r="C26">
        <f aca="true" t="shared" si="0" ref="C26:C48">$C$20/(1+$C$21*EXP(-$C$22*B26))</f>
        <v>244.44676334685926</v>
      </c>
      <c r="D26" s="14">
        <f aca="true" t="shared" si="1" ref="D26:D48">(C26-C25)/C25</f>
        <v>1.5538442089495361</v>
      </c>
      <c r="E26">
        <f aca="true" ca="1" t="shared" si="2" ref="E26:E48">NORMINV(RAND(),0,1)</f>
        <v>-0.7456168450692042</v>
      </c>
      <c r="F26" s="14">
        <f aca="true" t="shared" si="3" ref="F26:F48">D26+E26*$D$7</f>
        <v>1.4792825244426158</v>
      </c>
      <c r="G26">
        <f aca="true" t="shared" si="4" ref="G26:G48">C25*(1+F26)</f>
        <v>237.30992924259598</v>
      </c>
      <c r="H26">
        <f aca="true" t="shared" si="5" ref="H26:H48">$D$4/(1+$D$5*EXP(-$D$6*B26))</f>
        <v>200.25759679733653</v>
      </c>
    </row>
    <row r="27" spans="2:8" ht="12.75">
      <c r="B27">
        <v>2</v>
      </c>
      <c r="C27">
        <f t="shared" si="0"/>
        <v>557.8125608053833</v>
      </c>
      <c r="D27" s="14">
        <f t="shared" si="1"/>
        <v>1.2819388285942315</v>
      </c>
      <c r="E27">
        <f ca="1" t="shared" si="2"/>
        <v>0.753089006033157</v>
      </c>
      <c r="F27" s="14">
        <f t="shared" si="3"/>
        <v>1.357247729197547</v>
      </c>
      <c r="G27">
        <f t="shared" si="4"/>
        <v>576.2215778090741</v>
      </c>
      <c r="H27">
        <f t="shared" si="5"/>
        <v>448.00729946411826</v>
      </c>
    </row>
    <row r="28" spans="2:8" ht="12.75">
      <c r="B28">
        <v>3</v>
      </c>
      <c r="C28">
        <f t="shared" si="0"/>
        <v>1039.670158330378</v>
      </c>
      <c r="D28" s="14">
        <f t="shared" si="1"/>
        <v>0.8638342543403413</v>
      </c>
      <c r="E28">
        <f ca="1" t="shared" si="2"/>
        <v>0.8525326014531849</v>
      </c>
      <c r="F28" s="14">
        <f t="shared" si="3"/>
        <v>0.9490875144856599</v>
      </c>
      <c r="G28">
        <f t="shared" si="4"/>
        <v>1087.2254976890456</v>
      </c>
      <c r="H28">
        <f t="shared" si="5"/>
        <v>822.2186928186967</v>
      </c>
    </row>
    <row r="29" spans="2:8" ht="12.75">
      <c r="B29">
        <v>4</v>
      </c>
      <c r="C29">
        <f t="shared" si="0"/>
        <v>1511.8302597390684</v>
      </c>
      <c r="D29" s="14">
        <f t="shared" si="1"/>
        <v>0.454144131795549</v>
      </c>
      <c r="E29">
        <f ca="1" t="shared" si="2"/>
        <v>0.3915214775950999</v>
      </c>
      <c r="F29" s="14">
        <f t="shared" si="3"/>
        <v>0.493296279555059</v>
      </c>
      <c r="G29">
        <f t="shared" si="4"/>
        <v>1552.5355793991725</v>
      </c>
      <c r="H29">
        <f t="shared" si="5"/>
        <v>1186.9461394571788</v>
      </c>
    </row>
    <row r="30" spans="2:8" ht="12.75">
      <c r="B30">
        <v>5</v>
      </c>
      <c r="C30">
        <f t="shared" si="0"/>
        <v>1808.8228161472994</v>
      </c>
      <c r="D30" s="14">
        <f t="shared" si="1"/>
        <v>0.19644570182071222</v>
      </c>
      <c r="E30">
        <f ca="1" t="shared" si="2"/>
        <v>0.7389108329063836</v>
      </c>
      <c r="F30" s="14">
        <f t="shared" si="3"/>
        <v>0.27033678511135056</v>
      </c>
      <c r="G30">
        <f t="shared" si="4"/>
        <v>1920.5335917909863</v>
      </c>
      <c r="H30">
        <f t="shared" si="5"/>
        <v>1418.4133185051871</v>
      </c>
    </row>
    <row r="31" spans="2:8" ht="12.75">
      <c r="B31">
        <v>6</v>
      </c>
      <c r="C31">
        <f t="shared" si="0"/>
        <v>1947.1123705679054</v>
      </c>
      <c r="D31" s="14">
        <f t="shared" si="1"/>
        <v>0.07645279194075831</v>
      </c>
      <c r="E31">
        <f ca="1" t="shared" si="2"/>
        <v>-0.19403582661232133</v>
      </c>
      <c r="F31" s="14">
        <f t="shared" si="3"/>
        <v>0.05704920927952618</v>
      </c>
      <c r="G31">
        <f t="shared" si="4"/>
        <v>1912.0147275352688</v>
      </c>
      <c r="H31">
        <f t="shared" si="5"/>
        <v>1528.0352086119744</v>
      </c>
    </row>
    <row r="32" spans="2:8" ht="12">
      <c r="B32">
        <v>7</v>
      </c>
      <c r="C32">
        <f t="shared" si="0"/>
        <v>2002.4618356260594</v>
      </c>
      <c r="D32" s="14">
        <f t="shared" si="1"/>
        <v>0.028426435933952023</v>
      </c>
      <c r="E32">
        <f ca="1" t="shared" si="2"/>
        <v>-0.9299383101122061</v>
      </c>
      <c r="F32" s="14">
        <f t="shared" si="3"/>
        <v>-0.06456739507726858</v>
      </c>
      <c r="G32">
        <f t="shared" si="4"/>
        <v>1821.3923968776103</v>
      </c>
      <c r="H32">
        <f t="shared" si="5"/>
        <v>1572.7508995494331</v>
      </c>
    </row>
    <row r="33" spans="2:8" ht="12">
      <c r="B33">
        <v>8</v>
      </c>
      <c r="C33">
        <f t="shared" si="0"/>
        <v>2023.2554004416752</v>
      </c>
      <c r="D33" s="14">
        <f t="shared" si="1"/>
        <v>0.010384000556552335</v>
      </c>
      <c r="E33">
        <f ca="1" t="shared" si="2"/>
        <v>-0.6126153797067808</v>
      </c>
      <c r="F33" s="14">
        <f t="shared" si="3"/>
        <v>-0.05087753741412575</v>
      </c>
      <c r="G33">
        <f t="shared" si="4"/>
        <v>1900.5815086636358</v>
      </c>
      <c r="H33">
        <f t="shared" si="5"/>
        <v>1589.8665247542424</v>
      </c>
    </row>
    <row r="34" spans="2:8" ht="12">
      <c r="B34">
        <v>9</v>
      </c>
      <c r="C34">
        <f t="shared" si="0"/>
        <v>2030.879784236395</v>
      </c>
      <c r="D34" s="14">
        <f t="shared" si="1"/>
        <v>0.0037683743698671635</v>
      </c>
      <c r="E34">
        <f ca="1" t="shared" si="2"/>
        <v>0.9801768391126613</v>
      </c>
      <c r="F34" s="14">
        <f t="shared" si="3"/>
        <v>0.10178605828113331</v>
      </c>
      <c r="G34">
        <f t="shared" si="4"/>
        <v>2229.1945925486493</v>
      </c>
      <c r="H34">
        <f t="shared" si="5"/>
        <v>1596.2571182136166</v>
      </c>
    </row>
    <row r="35" spans="2:8" ht="12">
      <c r="B35">
        <v>10</v>
      </c>
      <c r="C35">
        <f t="shared" si="0"/>
        <v>2033.6504630356512</v>
      </c>
      <c r="D35" s="14">
        <f t="shared" si="1"/>
        <v>0.0013642751386675847</v>
      </c>
      <c r="E35">
        <f ca="1" t="shared" si="2"/>
        <v>1.9935910332347846</v>
      </c>
      <c r="F35" s="14">
        <f t="shared" si="3"/>
        <v>0.20072337846214605</v>
      </c>
      <c r="G35">
        <f t="shared" si="4"/>
        <v>2438.524835778798</v>
      </c>
      <c r="H35">
        <f t="shared" si="5"/>
        <v>1598.621031631495</v>
      </c>
    </row>
    <row r="36" spans="2:8" ht="12">
      <c r="B36">
        <v>11</v>
      </c>
      <c r="C36">
        <f t="shared" si="0"/>
        <v>2034.6540346507115</v>
      </c>
      <c r="D36" s="14">
        <f t="shared" si="1"/>
        <v>0.0004934828444226681</v>
      </c>
      <c r="E36">
        <f ca="1" t="shared" si="2"/>
        <v>0.8392076123762504</v>
      </c>
      <c r="F36" s="14">
        <f t="shared" si="3"/>
        <v>0.08441424408204772</v>
      </c>
      <c r="G36">
        <f t="shared" si="4"/>
        <v>2205.319529599912</v>
      </c>
      <c r="H36">
        <f t="shared" si="5"/>
        <v>1599.4924293645413</v>
      </c>
    </row>
    <row r="37" spans="2:8" ht="12">
      <c r="B37">
        <v>12</v>
      </c>
      <c r="C37">
        <f t="shared" si="0"/>
        <v>2035.0171093234126</v>
      </c>
      <c r="D37" s="14">
        <f t="shared" si="1"/>
        <v>0.00017844540964595036</v>
      </c>
      <c r="E37">
        <f ca="1" t="shared" si="2"/>
        <v>-0.5456504974915901</v>
      </c>
      <c r="F37" s="14">
        <f t="shared" si="3"/>
        <v>-0.05438660433951307</v>
      </c>
      <c r="G37">
        <f t="shared" si="4"/>
        <v>1923.9961107003694</v>
      </c>
      <c r="H37">
        <f t="shared" si="5"/>
        <v>1599.8132377470906</v>
      </c>
    </row>
    <row r="38" spans="2:8" ht="12">
      <c r="B38">
        <v>13</v>
      </c>
      <c r="C38">
        <f t="shared" si="0"/>
        <v>2035.1484070768647</v>
      </c>
      <c r="D38" s="14">
        <f t="shared" si="1"/>
        <v>6.451923811873897E-05</v>
      </c>
      <c r="E38">
        <f ca="1" t="shared" si="2"/>
        <v>1.0409838266855354</v>
      </c>
      <c r="F38" s="14">
        <f t="shared" si="3"/>
        <v>0.10416290190667227</v>
      </c>
      <c r="G38">
        <f t="shared" si="4"/>
        <v>2246.990396860267</v>
      </c>
      <c r="H38">
        <f t="shared" si="5"/>
        <v>1599.931288936911</v>
      </c>
    </row>
    <row r="39" spans="2:8" ht="12">
      <c r="B39">
        <v>14</v>
      </c>
      <c r="C39">
        <f t="shared" si="0"/>
        <v>2035.1958805795052</v>
      </c>
      <c r="D39" s="14">
        <f t="shared" si="1"/>
        <v>2.3326801365165107E-05</v>
      </c>
      <c r="E39">
        <f ca="1" t="shared" si="2"/>
        <v>0.18323233699211627</v>
      </c>
      <c r="F39" s="14">
        <f t="shared" si="3"/>
        <v>0.018346560500576793</v>
      </c>
      <c r="G39">
        <f t="shared" si="4"/>
        <v>2072.4863804549527</v>
      </c>
      <c r="H39">
        <f t="shared" si="5"/>
        <v>1599.9747219263086</v>
      </c>
    </row>
    <row r="40" spans="2:8" ht="12">
      <c r="B40">
        <v>15</v>
      </c>
      <c r="C40">
        <f t="shared" si="0"/>
        <v>2035.2130446740912</v>
      </c>
      <c r="D40" s="14">
        <f t="shared" si="1"/>
        <v>8.433632727805773E-06</v>
      </c>
      <c r="E40">
        <f ca="1" t="shared" si="2"/>
        <v>-1.620019806536508</v>
      </c>
      <c r="F40" s="14">
        <f t="shared" si="3"/>
        <v>-0.16199354702092297</v>
      </c>
      <c r="G40">
        <f t="shared" si="4"/>
        <v>1705.5072810020604</v>
      </c>
      <c r="H40">
        <f t="shared" si="5"/>
        <v>1599.990700623506</v>
      </c>
    </row>
    <row r="41" spans="2:8" ht="12">
      <c r="B41">
        <v>16</v>
      </c>
      <c r="C41">
        <f t="shared" si="0"/>
        <v>2035.2192502446258</v>
      </c>
      <c r="D41" s="14">
        <f t="shared" si="1"/>
        <v>3.049101198921083E-06</v>
      </c>
      <c r="E41">
        <f ca="1" t="shared" si="2"/>
        <v>0.08261781734699697</v>
      </c>
      <c r="F41" s="14">
        <f t="shared" si="3"/>
        <v>0.008264830835898618</v>
      </c>
      <c r="G41">
        <f t="shared" si="4"/>
        <v>2052.0337362033365</v>
      </c>
      <c r="H41">
        <f t="shared" si="5"/>
        <v>1599.9965789380033</v>
      </c>
    </row>
    <row r="42" spans="2:8" ht="12">
      <c r="B42">
        <v>17</v>
      </c>
      <c r="C42">
        <f t="shared" si="0"/>
        <v>2035.221493813207</v>
      </c>
      <c r="D42" s="14">
        <f t="shared" si="1"/>
        <v>1.1023719340986637E-06</v>
      </c>
      <c r="E42">
        <f ca="1" t="shared" si="2"/>
        <v>-0.118217854390611</v>
      </c>
      <c r="F42" s="14">
        <f t="shared" si="3"/>
        <v>-0.011820683067127002</v>
      </c>
      <c r="G42">
        <f t="shared" si="4"/>
        <v>2011.1615685153681</v>
      </c>
      <c r="H42">
        <f t="shared" si="5"/>
        <v>1599.9987414599234</v>
      </c>
    </row>
    <row r="43" spans="2:8" ht="12">
      <c r="B43">
        <v>18</v>
      </c>
      <c r="C43">
        <f t="shared" si="0"/>
        <v>2035.2223049532322</v>
      </c>
      <c r="D43" s="14">
        <f t="shared" si="1"/>
        <v>3.9855122781495267E-07</v>
      </c>
      <c r="E43">
        <f ca="1" t="shared" si="2"/>
        <v>0.26108897874079096</v>
      </c>
      <c r="F43" s="14">
        <f t="shared" si="3"/>
        <v>0.026109296425306912</v>
      </c>
      <c r="G43">
        <f t="shared" si="4"/>
        <v>2088.359695086332</v>
      </c>
      <c r="H43">
        <f t="shared" si="5"/>
        <v>1599.9995370087497</v>
      </c>
    </row>
    <row r="44" spans="2:8" ht="12">
      <c r="B44">
        <v>19</v>
      </c>
      <c r="C44">
        <f t="shared" si="0"/>
        <v>2035.2225982126022</v>
      </c>
      <c r="D44" s="14">
        <f t="shared" si="1"/>
        <v>1.4409205779081618E-07</v>
      </c>
      <c r="E44">
        <f ca="1" t="shared" si="2"/>
        <v>-2.576054580890653</v>
      </c>
      <c r="F44" s="14">
        <f t="shared" si="3"/>
        <v>-0.25760531399700753</v>
      </c>
      <c r="G44">
        <f t="shared" si="4"/>
        <v>1510.9382240320413</v>
      </c>
      <c r="H44">
        <f t="shared" si="5"/>
        <v>1599.9998296750064</v>
      </c>
    </row>
    <row r="45" spans="2:8" ht="12">
      <c r="B45">
        <v>20</v>
      </c>
      <c r="C45">
        <f t="shared" si="0"/>
        <v>2035.222704237488</v>
      </c>
      <c r="D45" s="14">
        <f t="shared" si="1"/>
        <v>5.209498257058832E-08</v>
      </c>
      <c r="E45">
        <f ca="1" t="shared" si="2"/>
        <v>-0.46442170511754366</v>
      </c>
      <c r="F45" s="14">
        <f t="shared" si="3"/>
        <v>-0.046442118416771795</v>
      </c>
      <c r="G45">
        <f t="shared" si="4"/>
        <v>1940.7025493019225</v>
      </c>
      <c r="H45">
        <f t="shared" si="5"/>
        <v>1599.9999373409323</v>
      </c>
    </row>
    <row r="46" spans="2:8" ht="12">
      <c r="B46">
        <v>21</v>
      </c>
      <c r="C46">
        <f t="shared" si="0"/>
        <v>2035.2227425696817</v>
      </c>
      <c r="D46" s="14">
        <f t="shared" si="1"/>
        <v>1.883439766742281E-08</v>
      </c>
      <c r="E46">
        <f ca="1" t="shared" si="2"/>
        <v>0.5385579038344173</v>
      </c>
      <c r="F46" s="14">
        <f t="shared" si="3"/>
        <v>0.0538558092178394</v>
      </c>
      <c r="G46">
        <f t="shared" si="4"/>
        <v>2144.8312699127173</v>
      </c>
      <c r="H46">
        <f t="shared" si="5"/>
        <v>1599.9999769490166</v>
      </c>
    </row>
    <row r="47" spans="2:8" ht="12">
      <c r="B47">
        <v>22</v>
      </c>
      <c r="C47">
        <f t="shared" si="0"/>
        <v>2035.2227564282866</v>
      </c>
      <c r="D47" s="14">
        <f t="shared" si="1"/>
        <v>6.809379939709685E-09</v>
      </c>
      <c r="E47">
        <f ca="1" t="shared" si="2"/>
        <v>-0.36177626743543423</v>
      </c>
      <c r="F47" s="14">
        <f t="shared" si="3"/>
        <v>-0.036177619934163484</v>
      </c>
      <c r="G47">
        <f t="shared" si="4"/>
        <v>1961.59322770763</v>
      </c>
      <c r="H47">
        <f t="shared" si="5"/>
        <v>1599.9999915200171</v>
      </c>
    </row>
    <row r="48" spans="2:8" ht="12">
      <c r="B48">
        <v>23</v>
      </c>
      <c r="C48">
        <f t="shared" si="0"/>
        <v>2035.2227614387207</v>
      </c>
      <c r="D48" s="14">
        <f t="shared" si="1"/>
        <v>2.4618602734417755E-09</v>
      </c>
      <c r="E48">
        <f ca="1" t="shared" si="2"/>
        <v>0.39411201216168423</v>
      </c>
      <c r="F48" s="14">
        <f t="shared" si="3"/>
        <v>0.039411203678028695</v>
      </c>
      <c r="G48">
        <f t="shared" si="4"/>
        <v>2115.433335012041</v>
      </c>
      <c r="H48">
        <f t="shared" si="5"/>
        <v>1599.9999968803888</v>
      </c>
    </row>
  </sheetData>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fenwickwang</dc:creator>
  <cp:keywords/>
  <dc:description/>
  <cp:lastModifiedBy>Michel-Alexandre Cardin</cp:lastModifiedBy>
  <cp:lastPrinted>2002-06-12T05:50:43Z</cp:lastPrinted>
  <dcterms:created xsi:type="dcterms:W3CDTF">2002-06-11T09:20:24Z</dcterms:created>
  <dcterms:modified xsi:type="dcterms:W3CDTF">2006-09-12T19:47:01Z</dcterms:modified>
  <cp:category/>
  <cp:version/>
  <cp:contentType/>
  <cp:contentStatus/>
</cp:coreProperties>
</file>