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21720" windowHeight="13605" activeTab="0"/>
  </bookViews>
  <sheets>
    <sheet name="RPI-X" sheetId="1" r:id="rId1"/>
    <sheet name="Graph" sheetId="2" r:id="rId2"/>
    <sheet name="Hoja3" sheetId="3" r:id="rId3"/>
  </sheets>
  <definedNames>
    <definedName name="alpha">'RPI-X'!$24:$24</definedName>
    <definedName name="Debt_percent">'RPI-X'!$13:$13</definedName>
    <definedName name="deltaDemand">'RPI-X'!$23:$23</definedName>
    <definedName name="Eq_percent">'RPI-X'!$12:$12</definedName>
    <definedName name="_xlnm.Print_Area" localSheetId="0">'RPI-X'!$A$1:$S$81</definedName>
    <definedName name="r_d">'RPI-X'!$16:$16</definedName>
    <definedName name="r_e">'RPI-X'!$14:$14</definedName>
    <definedName name="r_e_post_tax">'RPI-X'!$14:$14</definedName>
    <definedName name="r_e_pre_tax">'RPI-X'!$15:$15</definedName>
    <definedName name="RPI">'RPI-X'!$22:$22</definedName>
    <definedName name="WACC">'RPI-X'!$C$17</definedName>
    <definedName name="X">'RPI-X'!$25:$25</definedName>
  </definedNames>
  <calcPr fullCalcOnLoad="1"/>
</workbook>
</file>

<file path=xl/sharedStrings.xml><?xml version="1.0" encoding="utf-8"?>
<sst xmlns="http://schemas.openxmlformats.org/spreadsheetml/2006/main" count="69" uniqueCount="69">
  <si>
    <t xml:space="preserve">It has been assumed in the computations that the same ratio of debt to equity has been maintained throughout the entire period of price control. We are therefore assuming that this is what the regulator is also assuming that the company will do. This assumption makes it possible to perform the computations, but it may not correspond to what actually happens in the company. </t>
  </si>
  <si>
    <t>a</t>
  </si>
  <si>
    <r>
      <t>D</t>
    </r>
    <r>
      <rPr>
        <sz val="10"/>
        <rFont val="Tahoma"/>
        <family val="2"/>
      </rPr>
      <t xml:space="preserve"> Demand</t>
    </r>
  </si>
  <si>
    <t>Remuneration of distribution activity (RPI-X is here)</t>
  </si>
  <si>
    <t>Loss &amp; benefits account</t>
  </si>
  <si>
    <t>WACC</t>
  </si>
  <si>
    <t>Inversión - Amortización</t>
  </si>
  <si>
    <r>
      <t>r</t>
    </r>
    <r>
      <rPr>
        <vertAlign val="subscript"/>
        <sz val="10"/>
        <rFont val="Tahoma"/>
        <family val="2"/>
      </rPr>
      <t>d</t>
    </r>
  </si>
  <si>
    <t>Equity (%)</t>
  </si>
  <si>
    <t>Total</t>
  </si>
  <si>
    <t>CASE STUDY FOR PRICE CONTROL OF A REGULATED MONOPOLY</t>
  </si>
  <si>
    <t xml:space="preserve">SIMPLIFIED EXAMPLE OF THE APPLICATION OF THE RPI-X METHOD </t>
  </si>
  <si>
    <t>year 0</t>
  </si>
  <si>
    <t>year 1</t>
  </si>
  <si>
    <t>year 2</t>
  </si>
  <si>
    <t>year 3</t>
  </si>
  <si>
    <t>year 4</t>
  </si>
  <si>
    <t>year 5</t>
  </si>
  <si>
    <t>NPV(WACC)</t>
  </si>
  <si>
    <t>NPV(re after tax)</t>
  </si>
  <si>
    <t>INPUT DATA (in red)</t>
  </si>
  <si>
    <t>Equity (monetary units)</t>
  </si>
  <si>
    <t>Debt (monetary units)</t>
  </si>
  <si>
    <t>Debt (%)</t>
  </si>
  <si>
    <r>
      <t>r</t>
    </r>
    <r>
      <rPr>
        <vertAlign val="subscript"/>
        <sz val="10"/>
        <rFont val="Tahoma"/>
        <family val="2"/>
      </rPr>
      <t>e</t>
    </r>
    <r>
      <rPr>
        <sz val="10"/>
        <rFont val="Tahoma"/>
        <family val="2"/>
      </rPr>
      <t xml:space="preserve"> (after taxes)</t>
    </r>
  </si>
  <si>
    <r>
      <t>r</t>
    </r>
    <r>
      <rPr>
        <vertAlign val="subscript"/>
        <sz val="10"/>
        <rFont val="Tahoma"/>
        <family val="2"/>
      </rPr>
      <t xml:space="preserve">e </t>
    </r>
    <r>
      <rPr>
        <sz val="10"/>
        <rFont val="Tahoma"/>
        <family val="2"/>
      </rPr>
      <t>(before taxes)</t>
    </r>
  </si>
  <si>
    <t>Tax percentaje rate</t>
  </si>
  <si>
    <t>Economic life of assetts</t>
  </si>
  <si>
    <t>Rate base</t>
  </si>
  <si>
    <t>Investment</t>
  </si>
  <si>
    <t>RPI</t>
  </si>
  <si>
    <t>Adjustment factor X</t>
  </si>
  <si>
    <t>COSTS</t>
  </si>
  <si>
    <t>O&amp;M costs</t>
  </si>
  <si>
    <t>Net present value</t>
  </si>
  <si>
    <t>Depreciation</t>
  </si>
  <si>
    <t>Cost of capital</t>
  </si>
  <si>
    <t>REVENUES</t>
  </si>
  <si>
    <t>Revenues minus costs</t>
  </si>
  <si>
    <r>
      <t>NPV of revenues minus costs</t>
    </r>
    <r>
      <rPr>
        <sz val="10"/>
        <rFont val="Tahoma"/>
        <family val="2"/>
      </rPr>
      <t xml:space="preserve"> </t>
    </r>
  </si>
  <si>
    <t>Revenues</t>
  </si>
  <si>
    <t>Costs</t>
  </si>
  <si>
    <t xml:space="preserve">   O&amp;M costs</t>
  </si>
  <si>
    <t xml:space="preserve">   Depreciation</t>
  </si>
  <si>
    <t xml:space="preserve">   Payment of debt</t>
  </si>
  <si>
    <t>BAI (benefit before taxes)</t>
  </si>
  <si>
    <t>Taxes</t>
  </si>
  <si>
    <t>BDI (benefit after taxes)</t>
  </si>
  <si>
    <t xml:space="preserve">     NPV(re)</t>
  </si>
  <si>
    <t>Financial situation</t>
  </si>
  <si>
    <t>Income generated by the activity</t>
  </si>
  <si>
    <t>Investment needs from equity</t>
  </si>
  <si>
    <t>Investment needs from debt</t>
  </si>
  <si>
    <t>Debt reduction (keeping same financial structure)</t>
  </si>
  <si>
    <t>Dividends</t>
  </si>
  <si>
    <t>Comments:</t>
  </si>
  <si>
    <t>MIT ESD.934/6.974 Spring 2009</t>
  </si>
  <si>
    <t>Updated by: Bryan Palmintier</t>
  </si>
  <si>
    <t>Original spreadsheet by: Ignacio J. Pérez-Arriaga</t>
  </si>
  <si>
    <r>
      <t>The NPV of BDI coincides with the remuneration of the NPV of the equity with the interest rate after tax of equity (r</t>
    </r>
    <r>
      <rPr>
        <vertAlign val="subscript"/>
        <sz val="10"/>
        <rFont val="Tahoma"/>
        <family val="2"/>
      </rPr>
      <t>e</t>
    </r>
    <r>
      <rPr>
        <sz val="10"/>
        <rFont val="Tahoma"/>
        <family val="2"/>
      </rPr>
      <t xml:space="preserve">=10%). </t>
    </r>
  </si>
  <si>
    <r>
      <t>D</t>
    </r>
    <r>
      <rPr>
        <sz val="8"/>
        <rFont val="Tahoma"/>
        <family val="2"/>
      </rPr>
      <t xml:space="preserve"> O&amp;M Costs</t>
    </r>
  </si>
  <si>
    <t>Cost</t>
  </si>
  <si>
    <t>Year</t>
  </si>
  <si>
    <t>Revenue</t>
  </si>
  <si>
    <t>note this is actually two graphs super-imposed. The upper graph (Revenue) has a transparent background and transparent polt area. To edit the lower graph (cost), select the upper graph and use "Arrange" to "Send to Back." When done repeat the process to return Revenue to the top</t>
  </si>
  <si>
    <r>
      <t>Computed based on (1+</t>
    </r>
    <r>
      <rPr>
        <sz val="8"/>
        <rFont val="Symbol"/>
        <family val="1"/>
      </rPr>
      <t>D</t>
    </r>
    <r>
      <rPr>
        <sz val="8"/>
        <rFont val="Tahoma"/>
        <family val="2"/>
      </rPr>
      <t xml:space="preserve"> Demand)</t>
    </r>
  </si>
  <si>
    <t>Actual Rate of return on equity</t>
  </si>
  <si>
    <t>Equity (row 6): every year the benefit after tax BDI (row 45) is added and the dividends are substracted (row 53)</t>
  </si>
  <si>
    <t>Debt (row 7): every year the increment in debt is added (row 51) and the amount dedicated to reduce the debt (row 52) is substracted.</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</si>
</sst>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0.0"/>
    <numFmt numFmtId="183" formatCode="0.000"/>
    <numFmt numFmtId="184" formatCode="0.0000"/>
    <numFmt numFmtId="185" formatCode="0.000000000"/>
    <numFmt numFmtId="186" formatCode="0.00000000"/>
    <numFmt numFmtId="187" formatCode="0.0000000"/>
    <numFmt numFmtId="188" formatCode="0.000000"/>
    <numFmt numFmtId="189" formatCode="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0000000000000000"/>
    <numFmt numFmtId="198" formatCode="0.000000000000000000"/>
    <numFmt numFmtId="199" formatCode="0.0000000000000000000"/>
    <numFmt numFmtId="200" formatCode="0.00000000000000000000"/>
    <numFmt numFmtId="201" formatCode="0.000000000000000000000"/>
    <numFmt numFmtId="202" formatCode="0.0000000000000000000000"/>
    <numFmt numFmtId="203" formatCode="0.00000000000000000000000"/>
    <numFmt numFmtId="204" formatCode="0.000000000000000000000000"/>
    <numFmt numFmtId="205" formatCode="0.0000000000000000000000000"/>
    <numFmt numFmtId="206" formatCode="0.00000000000000000000000000"/>
    <numFmt numFmtId="207" formatCode="0.000000000000000000000000000"/>
    <numFmt numFmtId="208" formatCode="0.0000000000000000000000000000"/>
    <numFmt numFmtId="209" formatCode="0.00000000000000000000000000000"/>
    <numFmt numFmtId="210" formatCode="0.000000000000000000000000000000"/>
    <numFmt numFmtId="211" formatCode="0.0000000000000000000000000000000"/>
    <numFmt numFmtId="212" formatCode="0.00000000000000000000000000000000"/>
    <numFmt numFmtId="213" formatCode="0.0%"/>
    <numFmt numFmtId="214" formatCode="0.000%"/>
    <numFmt numFmtId="215" formatCode="0.0000%"/>
    <numFmt numFmtId="216" formatCode="0.00000%"/>
    <numFmt numFmtId="217" formatCode="0.000000%"/>
    <numFmt numFmtId="218" formatCode="0.000E+00;\㶐"/>
    <numFmt numFmtId="219" formatCode="0.000E+00;&quot;€&quot;"/>
    <numFmt numFmtId="220" formatCode="0.00E+00;&quot;€&quot;"/>
    <numFmt numFmtId="221" formatCode="0.0E+00;&quot;€&quot;"/>
    <numFmt numFmtId="222" formatCode="0E+00;&quot;€&quot;"/>
  </numFmts>
  <fonts count="52">
    <font>
      <sz val="10"/>
      <name val="Arial"/>
      <family val="0"/>
    </font>
    <font>
      <b/>
      <i/>
      <sz val="10"/>
      <name val="Tahoma"/>
      <family val="2"/>
    </font>
    <font>
      <sz val="10"/>
      <name val="Tahoma"/>
      <family val="2"/>
    </font>
    <font>
      <sz val="10"/>
      <color indexed="10"/>
      <name val="Tahoma"/>
      <family val="2"/>
    </font>
    <font>
      <sz val="10"/>
      <name val="Symbol"/>
      <family val="1"/>
    </font>
    <font>
      <sz val="8"/>
      <name val="Tahoma"/>
      <family val="2"/>
    </font>
    <font>
      <vertAlign val="subscript"/>
      <sz val="10"/>
      <name val="Tahoma"/>
      <family val="2"/>
    </font>
    <font>
      <b/>
      <sz val="10"/>
      <name val="Tahoma"/>
      <family val="2"/>
    </font>
    <font>
      <sz val="9"/>
      <name val="Tahoma"/>
      <family val="2"/>
    </font>
    <font>
      <sz val="10"/>
      <color indexed="48"/>
      <name val="Tahoma"/>
      <family val="2"/>
    </font>
    <font>
      <sz val="10"/>
      <color indexed="12"/>
      <name val="Tahoma"/>
      <family val="2"/>
    </font>
    <font>
      <u val="single"/>
      <sz val="10"/>
      <color indexed="12"/>
      <name val="Arial"/>
      <family val="0"/>
    </font>
    <font>
      <u val="single"/>
      <sz val="10"/>
      <color indexed="61"/>
      <name val="Arial"/>
      <family val="0"/>
    </font>
    <font>
      <sz val="8"/>
      <name val="Symbol"/>
      <family val="1"/>
    </font>
    <font>
      <sz val="8"/>
      <name val="Arial"/>
      <family val="0"/>
    </font>
    <font>
      <sz val="8"/>
      <color indexed="10"/>
      <name val="Tahoma"/>
      <family val="2"/>
    </font>
    <font>
      <sz val="14"/>
      <color indexed="8"/>
      <name val="Calibri"/>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8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8">
    <xf numFmtId="0" fontId="0" fillId="0" borderId="0" xfId="0" applyAlignment="1">
      <alignment/>
    </xf>
    <xf numFmtId="0" fontId="1" fillId="0" borderId="0" xfId="0" applyFont="1" applyAlignment="1">
      <alignment/>
    </xf>
    <xf numFmtId="0" fontId="2" fillId="0" borderId="0" xfId="0" applyFont="1" applyAlignment="1">
      <alignment/>
    </xf>
    <xf numFmtId="9" fontId="3" fillId="0" borderId="0" xfId="59" applyFont="1" applyAlignment="1">
      <alignment/>
    </xf>
    <xf numFmtId="0" fontId="3" fillId="0" borderId="0" xfId="0" applyFont="1" applyAlignment="1">
      <alignment/>
    </xf>
    <xf numFmtId="0" fontId="2" fillId="33" borderId="0" xfId="0" applyFont="1" applyFill="1" applyAlignment="1">
      <alignment horizontal="center"/>
    </xf>
    <xf numFmtId="0" fontId="2" fillId="0" borderId="0" xfId="0" applyFont="1" applyFill="1" applyAlignment="1">
      <alignment/>
    </xf>
    <xf numFmtId="184" fontId="2" fillId="0" borderId="0" xfId="0" applyNumberFormat="1" applyFont="1" applyFill="1" applyAlignment="1">
      <alignment/>
    </xf>
    <xf numFmtId="2" fontId="3" fillId="0" borderId="0" xfId="0" applyNumberFormat="1" applyFont="1" applyFill="1" applyAlignment="1">
      <alignment/>
    </xf>
    <xf numFmtId="2" fontId="2" fillId="0" borderId="0" xfId="0" applyNumberFormat="1" applyFont="1" applyAlignment="1">
      <alignment/>
    </xf>
    <xf numFmtId="2" fontId="3" fillId="0" borderId="0" xfId="0" applyNumberFormat="1" applyFont="1" applyAlignment="1">
      <alignment/>
    </xf>
    <xf numFmtId="2" fontId="2" fillId="0" borderId="10" xfId="0" applyNumberFormat="1" applyFont="1" applyBorder="1" applyAlignment="1">
      <alignment/>
    </xf>
    <xf numFmtId="0" fontId="2" fillId="33" borderId="0" xfId="0" applyFont="1" applyFill="1" applyAlignment="1">
      <alignment/>
    </xf>
    <xf numFmtId="2" fontId="2" fillId="0" borderId="0" xfId="0" applyNumberFormat="1" applyFont="1" applyFill="1" applyAlignment="1">
      <alignment/>
    </xf>
    <xf numFmtId="0" fontId="4" fillId="0" borderId="0" xfId="0" applyFont="1" applyFill="1" applyAlignment="1">
      <alignment/>
    </xf>
    <xf numFmtId="9" fontId="3" fillId="0" borderId="0" xfId="59" applyFont="1" applyFill="1" applyAlignment="1">
      <alignment/>
    </xf>
    <xf numFmtId="0" fontId="2" fillId="0" borderId="10" xfId="0" applyFont="1" applyBorder="1" applyAlignment="1">
      <alignment/>
    </xf>
    <xf numFmtId="0" fontId="2"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213" fontId="5" fillId="0" borderId="0" xfId="59" applyNumberFormat="1" applyFont="1" applyAlignment="1">
      <alignment/>
    </xf>
    <xf numFmtId="10" fontId="5" fillId="0" borderId="0" xfId="59" applyNumberFormat="1" applyFont="1" applyAlignment="1">
      <alignment/>
    </xf>
    <xf numFmtId="9" fontId="2" fillId="0" borderId="0" xfId="59" applyFont="1" applyAlignment="1">
      <alignment/>
    </xf>
    <xf numFmtId="9" fontId="2" fillId="0" borderId="0" xfId="59" applyNumberFormat="1" applyFont="1" applyAlignment="1">
      <alignment/>
    </xf>
    <xf numFmtId="0" fontId="2" fillId="0" borderId="0" xfId="0" applyFont="1" applyBorder="1" applyAlignment="1">
      <alignment horizontal="center"/>
    </xf>
    <xf numFmtId="2" fontId="2" fillId="33" borderId="0" xfId="0" applyNumberFormat="1" applyFont="1" applyFill="1" applyAlignment="1">
      <alignment/>
    </xf>
    <xf numFmtId="2" fontId="2" fillId="33" borderId="10" xfId="0" applyNumberFormat="1" applyFont="1" applyFill="1" applyBorder="1" applyAlignment="1">
      <alignment/>
    </xf>
    <xf numFmtId="184" fontId="2" fillId="0" borderId="0" xfId="0" applyNumberFormat="1" applyFont="1" applyAlignment="1">
      <alignment/>
    </xf>
    <xf numFmtId="10" fontId="5" fillId="0" borderId="10" xfId="59" applyNumberFormat="1" applyFont="1" applyBorder="1" applyAlignment="1">
      <alignment/>
    </xf>
    <xf numFmtId="2" fontId="2" fillId="34" borderId="0" xfId="0" applyNumberFormat="1" applyFont="1" applyFill="1" applyAlignment="1">
      <alignment/>
    </xf>
    <xf numFmtId="10" fontId="2" fillId="0" borderId="0" xfId="59" applyNumberFormat="1" applyFont="1" applyAlignment="1">
      <alignment/>
    </xf>
    <xf numFmtId="214" fontId="2" fillId="0" borderId="0" xfId="59" applyNumberFormat="1" applyFont="1" applyFill="1" applyAlignment="1">
      <alignment/>
    </xf>
    <xf numFmtId="2" fontId="8" fillId="0" borderId="0" xfId="0" applyNumberFormat="1" applyFont="1" applyAlignment="1">
      <alignment/>
    </xf>
    <xf numFmtId="0" fontId="7" fillId="0" borderId="0" xfId="0" applyFont="1" applyAlignment="1">
      <alignment/>
    </xf>
    <xf numFmtId="0" fontId="7" fillId="0" borderId="0" xfId="0" applyFont="1" applyFill="1" applyAlignment="1">
      <alignment/>
    </xf>
    <xf numFmtId="182" fontId="2" fillId="0" borderId="0" xfId="0" applyNumberFormat="1" applyFont="1" applyAlignment="1">
      <alignment/>
    </xf>
    <xf numFmtId="0" fontId="3" fillId="0" borderId="0" xfId="0" applyFont="1" applyFill="1" applyBorder="1" applyAlignment="1">
      <alignment/>
    </xf>
    <xf numFmtId="2" fontId="5" fillId="0" borderId="0" xfId="59" applyNumberFormat="1" applyFont="1" applyAlignment="1">
      <alignment/>
    </xf>
    <xf numFmtId="214" fontId="2" fillId="0" borderId="0" xfId="0" applyNumberFormat="1" applyFont="1" applyAlignment="1">
      <alignment/>
    </xf>
    <xf numFmtId="214" fontId="3" fillId="0" borderId="0" xfId="0" applyNumberFormat="1" applyFont="1" applyAlignment="1">
      <alignment/>
    </xf>
    <xf numFmtId="0" fontId="9" fillId="0" borderId="0" xfId="0" applyFont="1" applyAlignment="1">
      <alignment/>
    </xf>
    <xf numFmtId="0" fontId="10" fillId="0" borderId="0" xfId="0" applyFont="1" applyAlignment="1">
      <alignment/>
    </xf>
    <xf numFmtId="0" fontId="2" fillId="35" borderId="0" xfId="0" applyFont="1" applyFill="1" applyAlignment="1">
      <alignment/>
    </xf>
    <xf numFmtId="0" fontId="2" fillId="35" borderId="0" xfId="0" applyFont="1" applyFill="1" applyBorder="1" applyAlignment="1">
      <alignment/>
    </xf>
    <xf numFmtId="2" fontId="2" fillId="35" borderId="0" xfId="0" applyNumberFormat="1" applyFont="1" applyFill="1" applyAlignment="1">
      <alignment/>
    </xf>
    <xf numFmtId="10" fontId="5" fillId="35" borderId="0" xfId="59" applyNumberFormat="1" applyFont="1" applyFill="1" applyAlignment="1">
      <alignment/>
    </xf>
    <xf numFmtId="2" fontId="7" fillId="0" borderId="0" xfId="0" applyNumberFormat="1" applyFont="1" applyFill="1" applyAlignment="1">
      <alignment/>
    </xf>
    <xf numFmtId="2" fontId="2" fillId="36" borderId="0" xfId="0" applyNumberFormat="1" applyFont="1" applyFill="1" applyAlignment="1">
      <alignment/>
    </xf>
    <xf numFmtId="213" fontId="2" fillId="0" borderId="0" xfId="59" applyNumberFormat="1" applyFont="1" applyAlignment="1">
      <alignment/>
    </xf>
    <xf numFmtId="0" fontId="4" fillId="0" borderId="0" xfId="0" applyNumberFormat="1" applyFont="1" applyFill="1" applyBorder="1" applyAlignment="1">
      <alignment horizontal="right"/>
    </xf>
    <xf numFmtId="0" fontId="3" fillId="0" borderId="0" xfId="59" applyNumberFormat="1" applyFont="1" applyAlignment="1">
      <alignment horizontal="right"/>
    </xf>
    <xf numFmtId="0" fontId="2" fillId="0" borderId="0" xfId="0" applyNumberFormat="1" applyFont="1" applyAlignment="1">
      <alignment horizontal="right"/>
    </xf>
    <xf numFmtId="0" fontId="2" fillId="0" borderId="0" xfId="59" applyNumberFormat="1" applyFont="1" applyFill="1" applyAlignment="1">
      <alignment horizontal="right"/>
    </xf>
    <xf numFmtId="0" fontId="4" fillId="0" borderId="0" xfId="0" applyNumberFormat="1" applyFont="1" applyFill="1" applyAlignment="1">
      <alignment horizontal="left"/>
    </xf>
    <xf numFmtId="0" fontId="5" fillId="0" borderId="0" xfId="0" applyFont="1" applyAlignment="1">
      <alignment horizontal="right"/>
    </xf>
    <xf numFmtId="0" fontId="14" fillId="0" borderId="0" xfId="0" applyFont="1" applyAlignment="1">
      <alignment/>
    </xf>
    <xf numFmtId="0" fontId="5" fillId="0" borderId="0" xfId="0" applyFont="1" applyAlignment="1">
      <alignment/>
    </xf>
    <xf numFmtId="0" fontId="13" fillId="0" borderId="0" xfId="0" applyFont="1" applyAlignment="1">
      <alignment horizontal="right"/>
    </xf>
    <xf numFmtId="0" fontId="5" fillId="0" borderId="0" xfId="0" applyFont="1" applyFill="1" applyBorder="1" applyAlignment="1">
      <alignment/>
    </xf>
    <xf numFmtId="2" fontId="5" fillId="33" borderId="0" xfId="0" applyNumberFormat="1" applyFont="1" applyFill="1" applyAlignment="1">
      <alignment/>
    </xf>
    <xf numFmtId="2" fontId="5" fillId="0" borderId="0" xfId="0" applyNumberFormat="1" applyFont="1" applyAlignment="1">
      <alignment/>
    </xf>
    <xf numFmtId="2" fontId="15" fillId="0" borderId="0" xfId="0" applyNumberFormat="1" applyFont="1" applyAlignment="1">
      <alignment/>
    </xf>
    <xf numFmtId="10" fontId="3" fillId="0" borderId="0" xfId="0" applyNumberFormat="1" applyFont="1" applyAlignment="1">
      <alignment/>
    </xf>
    <xf numFmtId="1" fontId="0" fillId="0" borderId="0" xfId="0" applyNumberFormat="1" applyAlignment="1">
      <alignment/>
    </xf>
    <xf numFmtId="213" fontId="2" fillId="33" borderId="0" xfId="59" applyNumberFormat="1" applyFont="1" applyFill="1" applyAlignment="1">
      <alignment/>
    </xf>
    <xf numFmtId="213" fontId="0" fillId="0" borderId="0" xfId="59" applyNumberFormat="1" applyFont="1" applyAlignment="1">
      <alignment/>
    </xf>
    <xf numFmtId="213" fontId="0" fillId="0" borderId="0" xfId="59" applyNumberFormat="1" applyFont="1" applyFill="1" applyAlignment="1">
      <alignment/>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03"/>
          <c:w val="0.932"/>
          <c:h val="0.9205"/>
        </c:manualLayout>
      </c:layout>
      <c:barChart>
        <c:barDir val="col"/>
        <c:grouping val="clustered"/>
        <c:varyColors val="0"/>
        <c:ser>
          <c:idx val="0"/>
          <c:order val="0"/>
          <c:tx>
            <c:strRef>
              <c:f>Graph!$A$2</c:f>
              <c:strCache>
                <c:ptCount val="1"/>
                <c:pt idx="0">
                  <c:v>Cost</c:v>
                </c:pt>
              </c:strCache>
            </c:strRef>
          </c:tx>
          <c:spPr>
            <a:gradFill rotWithShape="1">
              <a:gsLst>
                <a:gs pos="0">
                  <a:srgbClr val="9BC1FF"/>
                </a:gs>
                <a:gs pos="100000">
                  <a:srgbClr val="3F80CD"/>
                </a:gs>
              </a:gsLst>
              <a:lin ang="5400000" scaled="1"/>
            </a:gradFill>
            <a:ln w="12700">
              <a:solidFill>
                <a:srgbClr val="3333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Graph!$B$2:$F$2</c:f>
              <c:numCache/>
            </c:numRef>
          </c:val>
        </c:ser>
        <c:axId val="57187117"/>
        <c:axId val="44922006"/>
      </c:barChart>
      <c:catAx>
        <c:axId val="57187117"/>
        <c:scaling>
          <c:orientation val="minMax"/>
        </c:scaling>
        <c:axPos val="b"/>
        <c:title>
          <c:tx>
            <c:rich>
              <a:bodyPr vert="horz" rot="0" anchor="ctr"/>
              <a:lstStyle/>
              <a:p>
                <a:pPr algn="ctr">
                  <a:defRPr/>
                </a:pPr>
                <a:r>
                  <a:rPr lang="en-US" cap="none" sz="1400" b="0" i="0" u="none" baseline="0">
                    <a:solidFill>
                      <a:srgbClr val="000000"/>
                    </a:solidFill>
                  </a:rPr>
                  <a:t>Year</a:t>
                </a:r>
              </a:p>
            </c:rich>
          </c:tx>
          <c:layout>
            <c:manualLayout>
              <c:xMode val="factor"/>
              <c:yMode val="factor"/>
              <c:x val="0.0017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4922006"/>
        <c:crosses val="autoZero"/>
        <c:auto val="1"/>
        <c:lblOffset val="100"/>
        <c:tickLblSkip val="1"/>
        <c:noMultiLvlLbl val="0"/>
      </c:catAx>
      <c:valAx>
        <c:axId val="44922006"/>
        <c:scaling>
          <c:orientation val="minMax"/>
          <c:max val="90"/>
          <c:min val="60"/>
        </c:scaling>
        <c:axPos val="l"/>
        <c:title>
          <c:tx>
            <c:rich>
              <a:bodyPr vert="horz" rot="-5400000" anchor="ctr"/>
              <a:lstStyle/>
              <a:p>
                <a:pPr algn="ctr">
                  <a:defRPr/>
                </a:pPr>
                <a:r>
                  <a:rPr lang="en-US" cap="none" sz="1400" b="0" i="0" u="none" baseline="0">
                    <a:solidFill>
                      <a:srgbClr val="000000"/>
                    </a:solidFill>
                  </a:rPr>
                  <a:t>Money</a:t>
                </a:r>
              </a:p>
            </c:rich>
          </c:tx>
          <c:layout>
            <c:manualLayout>
              <c:xMode val="factor"/>
              <c:yMode val="factor"/>
              <c:x val="-0.00225"/>
              <c:y val="0.00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187117"/>
        <c:crossesAt val="1"/>
        <c:crossBetween val="between"/>
        <c:dispUnits/>
        <c:majorUnit val="10"/>
      </c:valAx>
      <c:spPr>
        <a:solidFill>
          <a:srgbClr val="FFFFFF"/>
        </a:solidFill>
        <a:ln w="12700">
          <a:solidFill>
            <a:srgbClr val="333333"/>
          </a:solidFill>
        </a:ln>
      </c:spPr>
    </c:plotArea>
    <c:legend>
      <c:legendPos val="r"/>
      <c:layout>
        <c:manualLayout>
          <c:xMode val="edge"/>
          <c:yMode val="edge"/>
          <c:x val="0.16225"/>
          <c:y val="0.07675"/>
          <c:w val="0.09375"/>
          <c:h val="0.0655"/>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03"/>
          <c:w val="0.93025"/>
          <c:h val="0.9205"/>
        </c:manualLayout>
      </c:layout>
      <c:lineChart>
        <c:grouping val="standard"/>
        <c:varyColors val="0"/>
        <c:ser>
          <c:idx val="0"/>
          <c:order val="0"/>
          <c:tx>
            <c:strRef>
              <c:f>Graph!$A$3</c:f>
              <c:strCache>
                <c:ptCount val="1"/>
                <c:pt idx="0">
                  <c:v>Revenue</c:v>
                </c:pt>
              </c:strCache>
            </c:strRef>
          </c:tx>
          <c:spPr>
            <a:ln w="381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FF0000"/>
              </a:solidFill>
              <a:ln>
                <a:solidFill>
                  <a:srgbClr val="000000"/>
                </a:solidFill>
              </a:ln>
              <a:effectLst>
                <a:outerShdw dist="35921" dir="2700000" algn="br">
                  <a:prstClr val="black"/>
                </a:outerShdw>
              </a:effectLst>
            </c:spPr>
          </c:marker>
          <c:val>
            <c:numRef>
              <c:f>Graph!$B$3:$F$3</c:f>
              <c:numCache/>
            </c:numRef>
          </c:val>
          <c:smooth val="0"/>
        </c:ser>
        <c:marker val="1"/>
        <c:axId val="1644871"/>
        <c:axId val="14803840"/>
      </c:lineChart>
      <c:catAx>
        <c:axId val="1644871"/>
        <c:scaling>
          <c:orientation val="minMax"/>
        </c:scaling>
        <c:axPos val="b"/>
        <c:title>
          <c:tx>
            <c:rich>
              <a:bodyPr vert="horz" rot="0" anchor="ctr"/>
              <a:lstStyle/>
              <a:p>
                <a:pPr algn="ctr">
                  <a:defRPr/>
                </a:pPr>
                <a:r>
                  <a:rPr lang="en-US" cap="none" sz="1400" b="0" i="0" u="none" baseline="0">
                    <a:solidFill>
                      <a:srgbClr val="000000"/>
                    </a:solidFill>
                  </a:rPr>
                  <a:t>Year</a:t>
                </a:r>
              </a:p>
            </c:rich>
          </c:tx>
          <c:layout>
            <c:manualLayout>
              <c:xMode val="factor"/>
              <c:yMode val="factor"/>
              <c:x val="0.0017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4803840"/>
        <c:crosses val="autoZero"/>
        <c:auto val="1"/>
        <c:lblOffset val="100"/>
        <c:tickLblSkip val="1"/>
        <c:noMultiLvlLbl val="0"/>
      </c:catAx>
      <c:valAx>
        <c:axId val="14803840"/>
        <c:scaling>
          <c:orientation val="minMax"/>
          <c:max val="90"/>
          <c:min val="60"/>
        </c:scaling>
        <c:axPos val="l"/>
        <c:title>
          <c:tx>
            <c:rich>
              <a:bodyPr vert="horz" rot="-5400000" anchor="ctr"/>
              <a:lstStyle/>
              <a:p>
                <a:pPr algn="ctr">
                  <a:defRPr/>
                </a:pPr>
                <a:r>
                  <a:rPr lang="en-US" cap="none" sz="1400" b="0" i="0" u="none" baseline="0">
                    <a:solidFill>
                      <a:srgbClr val="000000"/>
                    </a:solidFill>
                  </a:rPr>
                  <a:t>Money</a:t>
                </a:r>
              </a:p>
            </c:rich>
          </c:tx>
          <c:layout>
            <c:manualLayout>
              <c:xMode val="factor"/>
              <c:yMode val="factor"/>
              <c:x val="-0.00225"/>
              <c:y val="0.003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44871"/>
        <c:crossesAt val="1"/>
        <c:crossBetween val="between"/>
        <c:dispUnits/>
        <c:majorUnit val="10"/>
      </c:valAx>
      <c:spPr>
        <a:noFill/>
        <a:ln w="12700">
          <a:solidFill>
            <a:srgbClr val="333333"/>
          </a:solidFill>
        </a:ln>
      </c:spPr>
    </c:plotArea>
    <c:legend>
      <c:legendPos val="r"/>
      <c:layout>
        <c:manualLayout>
          <c:xMode val="edge"/>
          <c:yMode val="edge"/>
          <c:x val="0.14725"/>
          <c:y val="0.12875"/>
          <c:w val="0.1605"/>
          <c:h val="0.0655"/>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noFill/>
    <a:ln w="3175">
      <a:solidFill>
        <a:srgbClr val="000000"/>
      </a:solidFill>
    </a:ln>
  </c:spPr>
  <c:txPr>
    <a:bodyPr vert="horz" rot="0"/>
    <a:lstStyle/>
    <a:p>
      <a:pPr>
        <a:defRPr lang="en-US" cap="none" sz="14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571500</xdr:colOff>
      <xdr:row>8</xdr:row>
      <xdr:rowOff>114300</xdr:rowOff>
    </xdr:from>
    <xdr:to>
      <xdr:col>11</xdr:col>
      <xdr:colOff>714375</xdr:colOff>
      <xdr:row>10</xdr:row>
      <xdr:rowOff>47625</xdr:rowOff>
    </xdr:to>
    <xdr:pic>
      <xdr:nvPicPr>
        <xdr:cNvPr id="1" name="SpinButton1"/>
        <xdr:cNvPicPr preferRelativeResize="1">
          <a:picLocks noChangeAspect="1"/>
        </xdr:cNvPicPr>
      </xdr:nvPicPr>
      <xdr:blipFill>
        <a:blip r:embed="rId1"/>
        <a:stretch>
          <a:fillRect/>
        </a:stretch>
      </xdr:blipFill>
      <xdr:spPr>
        <a:xfrm>
          <a:off x="9782175" y="1638300"/>
          <a:ext cx="1428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6</xdr:row>
      <xdr:rowOff>0</xdr:rowOff>
    </xdr:from>
    <xdr:to>
      <xdr:col>10</xdr:col>
      <xdr:colOff>457200</xdr:colOff>
      <xdr:row>32</xdr:row>
      <xdr:rowOff>95250</xdr:rowOff>
    </xdr:to>
    <xdr:graphicFrame>
      <xdr:nvGraphicFramePr>
        <xdr:cNvPr id="1" name="Chart 2"/>
        <xdr:cNvGraphicFramePr/>
      </xdr:nvGraphicFramePr>
      <xdr:xfrm>
        <a:off x="2295525" y="971550"/>
        <a:ext cx="5781675" cy="4305300"/>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6</xdr:row>
      <xdr:rowOff>0</xdr:rowOff>
    </xdr:from>
    <xdr:to>
      <xdr:col>10</xdr:col>
      <xdr:colOff>457200</xdr:colOff>
      <xdr:row>32</xdr:row>
      <xdr:rowOff>95250</xdr:rowOff>
    </xdr:to>
    <xdr:graphicFrame>
      <xdr:nvGraphicFramePr>
        <xdr:cNvPr id="2" name="Chart 3"/>
        <xdr:cNvGraphicFramePr/>
      </xdr:nvGraphicFramePr>
      <xdr:xfrm>
        <a:off x="2295525" y="971550"/>
        <a:ext cx="5781675" cy="4305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Hoja1">
    <pageSetUpPr fitToPage="1"/>
  </sheetPr>
  <dimension ref="A1:O67"/>
  <sheetViews>
    <sheetView showGridLines="0" tabSelected="1" zoomScale="125" zoomScaleNormal="125" zoomScalePageLayoutView="0" workbookViewId="0" topLeftCell="A8">
      <selection activeCell="A29" sqref="A29"/>
    </sheetView>
  </sheetViews>
  <sheetFormatPr defaultColWidth="11.421875" defaultRowHeight="15" customHeight="1"/>
  <cols>
    <col min="1" max="1" width="33.7109375" style="2" customWidth="1"/>
    <col min="2" max="2" width="2.7109375" style="17" customWidth="1"/>
    <col min="3" max="3" width="11.8515625" style="2" bestFit="1" customWidth="1"/>
    <col min="4" max="4" width="9.8515625" style="2" customWidth="1"/>
    <col min="5" max="16384" width="11.421875" style="2" customWidth="1"/>
  </cols>
  <sheetData>
    <row r="1" spans="1:2" ht="15" customHeight="1">
      <c r="A1" s="1" t="s">
        <v>10</v>
      </c>
      <c r="B1" s="19"/>
    </row>
    <row r="2" ht="15" customHeight="1">
      <c r="A2" s="1" t="s">
        <v>11</v>
      </c>
    </row>
    <row r="3" ht="15" customHeight="1">
      <c r="A3" t="s">
        <v>56</v>
      </c>
    </row>
    <row r="4" ht="15" customHeight="1">
      <c r="A4" t="s">
        <v>58</v>
      </c>
    </row>
    <row r="5" ht="15" customHeight="1">
      <c r="A5" t="s">
        <v>57</v>
      </c>
    </row>
    <row r="6" ht="15" customHeight="1">
      <c r="A6" s="1"/>
    </row>
    <row r="7" spans="3:11" ht="15" customHeight="1">
      <c r="C7" s="5" t="s">
        <v>12</v>
      </c>
      <c r="E7" s="5" t="s">
        <v>13</v>
      </c>
      <c r="F7" s="5" t="s">
        <v>14</v>
      </c>
      <c r="G7" s="5" t="s">
        <v>15</v>
      </c>
      <c r="H7" s="5" t="s">
        <v>16</v>
      </c>
      <c r="I7" s="5" t="s">
        <v>17</v>
      </c>
      <c r="J7" s="2" t="s">
        <v>18</v>
      </c>
      <c r="K7" s="2" t="s">
        <v>19</v>
      </c>
    </row>
    <row r="8" ht="15" customHeight="1">
      <c r="A8" s="16" t="s">
        <v>20</v>
      </c>
    </row>
    <row r="9" spans="1:11" ht="15" customHeight="1">
      <c r="A9" s="2" t="s">
        <v>21</v>
      </c>
      <c r="C9" s="2">
        <f>C20*C12</f>
        <v>65</v>
      </c>
      <c r="D9" s="25">
        <v>60</v>
      </c>
      <c r="E9" s="9">
        <f>C9+E50-E59</f>
        <v>66.3</v>
      </c>
      <c r="F9" s="9">
        <f>E9+F50-F59</f>
        <v>73.97</v>
      </c>
      <c r="G9" s="9">
        <f>F9+G50-G59</f>
        <v>71.045</v>
      </c>
      <c r="H9" s="9">
        <f>G9+H50-H59</f>
        <v>70.78500000000001</v>
      </c>
      <c r="I9" s="9">
        <f>H9+I50-I59</f>
        <v>64.415</v>
      </c>
      <c r="J9" s="25">
        <f>NPV(WACC,D9:H9)</f>
        <v>243.7689161251033</v>
      </c>
      <c r="K9" s="25">
        <f>NPV($C$14,D9:H9)</f>
        <v>257.39020558705</v>
      </c>
    </row>
    <row r="10" spans="1:14" ht="15" customHeight="1">
      <c r="A10" s="2" t="s">
        <v>22</v>
      </c>
      <c r="C10" s="2">
        <f>C20*C13</f>
        <v>35</v>
      </c>
      <c r="E10" s="9">
        <f>C10-E58+E57</f>
        <v>35.7</v>
      </c>
      <c r="F10" s="9">
        <f>E10-F58+F57</f>
        <v>39.83</v>
      </c>
      <c r="G10" s="9">
        <f>F10-G58+G57</f>
        <v>38.254999999999995</v>
      </c>
      <c r="H10" s="9">
        <f>G10-H58+H57</f>
        <v>38.114999999999995</v>
      </c>
      <c r="I10" s="9">
        <f>H10-I58+I57</f>
        <v>34.684999999999995</v>
      </c>
      <c r="J10" s="41"/>
      <c r="K10" s="41"/>
      <c r="L10" s="41"/>
      <c r="M10" s="41"/>
      <c r="N10" s="41"/>
    </row>
    <row r="11" spans="1:9" ht="15" customHeight="1">
      <c r="A11" s="2" t="s">
        <v>9</v>
      </c>
      <c r="C11" s="2">
        <f>C9+C10</f>
        <v>100</v>
      </c>
      <c r="E11" s="35">
        <f>E9+E10</f>
        <v>102</v>
      </c>
      <c r="F11" s="35">
        <f>F9+F10</f>
        <v>113.8</v>
      </c>
      <c r="G11" s="35">
        <f>G9+G10</f>
        <v>109.3</v>
      </c>
      <c r="H11" s="35">
        <f>H9+H10</f>
        <v>108.9</v>
      </c>
      <c r="I11" s="35">
        <f>I9+I10</f>
        <v>99.1</v>
      </c>
    </row>
    <row r="12" spans="1:9" ht="15" customHeight="1">
      <c r="A12" s="2" t="s">
        <v>8</v>
      </c>
      <c r="C12" s="3">
        <v>0.65</v>
      </c>
      <c r="D12" s="3"/>
      <c r="E12" s="3">
        <f>E9/E11</f>
        <v>0.65</v>
      </c>
      <c r="F12" s="3">
        <f>F9/F11</f>
        <v>0.65</v>
      </c>
      <c r="G12" s="3">
        <f>G9/G11</f>
        <v>0.65</v>
      </c>
      <c r="H12" s="3">
        <f>H9/H11</f>
        <v>0.65</v>
      </c>
      <c r="I12" s="3">
        <f>I9/I11</f>
        <v>0.6500000000000001</v>
      </c>
    </row>
    <row r="13" spans="1:9" ht="15" customHeight="1">
      <c r="A13" s="2" t="s">
        <v>23</v>
      </c>
      <c r="C13" s="22">
        <f>1-C12</f>
        <v>0.35</v>
      </c>
      <c r="D13" s="22"/>
      <c r="E13" s="22">
        <f>E10/E11</f>
        <v>0.35000000000000003</v>
      </c>
      <c r="F13" s="22">
        <f>F10/F11</f>
        <v>0.35</v>
      </c>
      <c r="G13" s="22">
        <f>G10/G11</f>
        <v>0.35</v>
      </c>
      <c r="H13" s="22">
        <f>H10/H11</f>
        <v>0.3499999999999999</v>
      </c>
      <c r="I13" s="22">
        <f>I10/I11</f>
        <v>0.35</v>
      </c>
    </row>
    <row r="14" spans="1:9" s="4" customFormat="1" ht="15" customHeight="1">
      <c r="A14" s="2" t="s">
        <v>24</v>
      </c>
      <c r="B14" s="36"/>
      <c r="C14" s="3">
        <v>0.1</v>
      </c>
      <c r="D14" s="3"/>
      <c r="E14" s="22"/>
      <c r="F14" s="3"/>
      <c r="G14" s="3"/>
      <c r="H14" s="3"/>
      <c r="I14" s="3"/>
    </row>
    <row r="15" spans="1:9" ht="15" customHeight="1">
      <c r="A15" s="2" t="s">
        <v>25</v>
      </c>
      <c r="B15" s="2"/>
      <c r="C15" s="30">
        <f>$C$14/(1-C18)</f>
        <v>0.15384615384615385</v>
      </c>
      <c r="D15" s="3"/>
      <c r="E15" s="30">
        <f>C15</f>
        <v>0.15384615384615385</v>
      </c>
      <c r="F15" s="30">
        <f>C15</f>
        <v>0.15384615384615385</v>
      </c>
      <c r="G15" s="30">
        <f>C15</f>
        <v>0.15384615384615385</v>
      </c>
      <c r="H15" s="30">
        <f>C15</f>
        <v>0.15384615384615385</v>
      </c>
      <c r="I15" s="30">
        <f>C15</f>
        <v>0.15384615384615385</v>
      </c>
    </row>
    <row r="16" spans="1:9" ht="15" customHeight="1">
      <c r="A16" s="2" t="s">
        <v>7</v>
      </c>
      <c r="C16" s="3">
        <v>0.06</v>
      </c>
      <c r="D16" s="3"/>
      <c r="E16" s="3">
        <v>0.06</v>
      </c>
      <c r="F16" s="3">
        <v>0.06</v>
      </c>
      <c r="G16" s="3">
        <v>0.06</v>
      </c>
      <c r="H16" s="3">
        <v>0.06</v>
      </c>
      <c r="I16" s="3">
        <v>0.06</v>
      </c>
    </row>
    <row r="17" spans="1:9" ht="15" customHeight="1">
      <c r="A17" s="2" t="s">
        <v>5</v>
      </c>
      <c r="C17" s="30">
        <f>+(r_e_pre_tax*(Eq_percent/(Eq_percent+Debt_percent)))+(r_d*(Debt_percent/(Eq_percent+Debt_percent)))</f>
        <v>0.121</v>
      </c>
      <c r="D17" s="23"/>
      <c r="E17" s="30">
        <f>+(r_e_pre_tax*(Eq_percent/(Eq_percent+Debt_percent)))+(r_d*(Debt_percent/(Eq_percent+Debt_percent)))</f>
        <v>0.12100000000000001</v>
      </c>
      <c r="F17" s="30">
        <f>+(r_e_pre_tax*(Eq_percent/(Eq_percent+Debt_percent)))+(r_d*(Debt_percent/(Eq_percent+Debt_percent)))</f>
        <v>0.121</v>
      </c>
      <c r="G17" s="30">
        <f>+(r_e_pre_tax*(Eq_percent/(Eq_percent+Debt_percent)))+(r_d*(Debt_percent/(Eq_percent+Debt_percent)))</f>
        <v>0.121</v>
      </c>
      <c r="H17" s="30">
        <f>+(r_e_pre_tax*(Eq_percent/(Eq_percent+Debt_percent)))+(r_d*(Debt_percent/(Eq_percent+Debt_percent)))</f>
        <v>0.121</v>
      </c>
      <c r="I17" s="30">
        <f>+(r_e_pre_tax*(Eq_percent/(Eq_percent+Debt_percent)))+(r_d*(Debt_percent/(Eq_percent+Debt_percent)))</f>
        <v>0.12100000000000002</v>
      </c>
    </row>
    <row r="18" spans="1:4" ht="15" customHeight="1">
      <c r="A18" s="6" t="s">
        <v>26</v>
      </c>
      <c r="B18" s="18"/>
      <c r="C18" s="3">
        <v>0.35</v>
      </c>
      <c r="D18" s="23"/>
    </row>
    <row r="19" spans="1:4" ht="15" customHeight="1">
      <c r="A19" s="2" t="s">
        <v>27</v>
      </c>
      <c r="C19" s="4">
        <v>10</v>
      </c>
      <c r="D19" s="4"/>
    </row>
    <row r="20" spans="1:9" ht="15" customHeight="1">
      <c r="A20" s="2" t="s">
        <v>28</v>
      </c>
      <c r="C20" s="4">
        <v>100</v>
      </c>
      <c r="D20" s="4"/>
      <c r="E20" s="9">
        <f>+C20-E31+E21</f>
        <v>102</v>
      </c>
      <c r="F20" s="9">
        <f>+E20-F31+F21</f>
        <v>113.8</v>
      </c>
      <c r="G20" s="9">
        <f>+F20-G31+G21</f>
        <v>109.3</v>
      </c>
      <c r="H20" s="9">
        <f>+G20-H31+H21</f>
        <v>108.89999999999999</v>
      </c>
      <c r="I20" s="9">
        <f>+H20-I31+I21</f>
        <v>99.1</v>
      </c>
    </row>
    <row r="21" spans="1:15" ht="15" customHeight="1">
      <c r="A21" s="6" t="s">
        <v>29</v>
      </c>
      <c r="C21" s="9"/>
      <c r="D21" s="9"/>
      <c r="E21" s="8">
        <v>12</v>
      </c>
      <c r="F21" s="8">
        <v>23</v>
      </c>
      <c r="G21" s="8">
        <v>9</v>
      </c>
      <c r="H21" s="8">
        <v>14</v>
      </c>
      <c r="I21" s="8">
        <v>6</v>
      </c>
      <c r="J21" s="9"/>
      <c r="K21" s="8"/>
      <c r="L21" s="8"/>
      <c r="M21" s="8"/>
      <c r="N21" s="8"/>
      <c r="O21" s="8"/>
    </row>
    <row r="22" spans="1:10" ht="15" customHeight="1">
      <c r="A22" s="6" t="s">
        <v>30</v>
      </c>
      <c r="C22" s="9"/>
      <c r="D22" s="9"/>
      <c r="E22" s="15">
        <v>0.03</v>
      </c>
      <c r="F22" s="15">
        <v>0.03</v>
      </c>
      <c r="G22" s="15">
        <v>0.02</v>
      </c>
      <c r="H22" s="15">
        <v>0.02</v>
      </c>
      <c r="I22" s="15">
        <v>0.02</v>
      </c>
      <c r="J22" s="9"/>
    </row>
    <row r="23" spans="1:15" ht="15" customHeight="1">
      <c r="A23" s="14" t="s">
        <v>2</v>
      </c>
      <c r="B23" s="18"/>
      <c r="C23" s="9"/>
      <c r="D23" s="9"/>
      <c r="E23" s="62">
        <v>0.04</v>
      </c>
      <c r="F23" s="62">
        <v>0.035</v>
      </c>
      <c r="G23" s="62">
        <v>0.03</v>
      </c>
      <c r="H23" s="62">
        <v>0.03</v>
      </c>
      <c r="I23" s="62">
        <v>0.03</v>
      </c>
      <c r="J23" s="9"/>
      <c r="K23" s="62"/>
      <c r="L23" s="62"/>
      <c r="M23" s="62"/>
      <c r="N23" s="62"/>
      <c r="O23" s="62"/>
    </row>
    <row r="24" spans="1:9" s="51" customFormat="1" ht="15" customHeight="1">
      <c r="A24" s="53" t="s">
        <v>1</v>
      </c>
      <c r="B24" s="49"/>
      <c r="C24" s="50">
        <v>0.41</v>
      </c>
      <c r="E24" s="52">
        <f>C24</f>
        <v>0.41</v>
      </c>
      <c r="F24" s="52">
        <f aca="true" t="shared" si="0" ref="F24:I25">+E24</f>
        <v>0.41</v>
      </c>
      <c r="G24" s="52">
        <f t="shared" si="0"/>
        <v>0.41</v>
      </c>
      <c r="H24" s="52">
        <f t="shared" si="0"/>
        <v>0.41</v>
      </c>
      <c r="I24" s="52">
        <f t="shared" si="0"/>
        <v>0.41</v>
      </c>
    </row>
    <row r="25" spans="1:9" ht="15" customHeight="1">
      <c r="A25" s="2" t="s">
        <v>31</v>
      </c>
      <c r="C25" s="39">
        <v>0</v>
      </c>
      <c r="D25" s="38"/>
      <c r="E25" s="31">
        <f>C25</f>
        <v>0</v>
      </c>
      <c r="F25" s="31">
        <f t="shared" si="0"/>
        <v>0</v>
      </c>
      <c r="G25" s="31">
        <f t="shared" si="0"/>
        <v>0</v>
      </c>
      <c r="H25" s="31">
        <f t="shared" si="0"/>
        <v>0</v>
      </c>
      <c r="I25" s="31">
        <f t="shared" si="0"/>
        <v>0</v>
      </c>
    </row>
    <row r="26" spans="1:6" ht="15" customHeight="1">
      <c r="A26" s="6"/>
      <c r="C26" s="7"/>
      <c r="D26" s="7"/>
      <c r="E26" s="8"/>
      <c r="F26" s="8"/>
    </row>
    <row r="27" spans="1:4" ht="15" customHeight="1">
      <c r="A27" s="16" t="s">
        <v>32</v>
      </c>
      <c r="C27" s="5" t="s">
        <v>34</v>
      </c>
      <c r="D27" s="24"/>
    </row>
    <row r="28" spans="1:9" ht="15" customHeight="1">
      <c r="A28" s="2" t="s">
        <v>33</v>
      </c>
      <c r="C28" s="25">
        <f>NPV(WACC,E28:I28)</f>
        <v>190.333423157253</v>
      </c>
      <c r="D28" s="9"/>
      <c r="E28" s="10">
        <v>50</v>
      </c>
      <c r="F28" s="47">
        <f>F29</f>
        <v>51.74999999999999</v>
      </c>
      <c r="G28" s="47">
        <f>G29</f>
        <v>53.302499999999995</v>
      </c>
      <c r="H28" s="47">
        <f>H29</f>
        <v>54.901574999999994</v>
      </c>
      <c r="I28" s="47">
        <f>I29</f>
        <v>56.548622249999994</v>
      </c>
    </row>
    <row r="29" spans="1:9" s="55" customFormat="1" ht="11.25">
      <c r="A29" s="54" t="s">
        <v>65</v>
      </c>
      <c r="C29" s="59"/>
      <c r="F29" s="56">
        <f>+E28*(1+deltaDemand)</f>
        <v>51.74999999999999</v>
      </c>
      <c r="G29" s="56">
        <f>+F28*(1+deltaDemand)</f>
        <v>53.302499999999995</v>
      </c>
      <c r="H29" s="56">
        <f>+G28*(1+deltaDemand)</f>
        <v>54.901574999999994</v>
      </c>
      <c r="I29" s="56">
        <f>+H28*(1+deltaDemand)</f>
        <v>56.548622249999994</v>
      </c>
    </row>
    <row r="30" spans="1:9" s="56" customFormat="1" ht="10.5">
      <c r="A30" s="57" t="s">
        <v>60</v>
      </c>
      <c r="B30" s="58"/>
      <c r="C30" s="59"/>
      <c r="D30" s="60"/>
      <c r="E30" s="61"/>
      <c r="F30" s="20">
        <f>+(F28-E28)/E28</f>
        <v>0.03499999999999986</v>
      </c>
      <c r="G30" s="20">
        <f>+(G28-F28)/F28</f>
        <v>0.030000000000000044</v>
      </c>
      <c r="H30" s="20">
        <f>+(H28-G28)/G28</f>
        <v>0.029999999999999985</v>
      </c>
      <c r="I30" s="20">
        <f>+(I28-H28)/H28</f>
        <v>0.030000000000000002</v>
      </c>
    </row>
    <row r="31" spans="1:10" ht="15" customHeight="1">
      <c r="A31" s="2" t="s">
        <v>35</v>
      </c>
      <c r="C31" s="25">
        <f>NPV(WACC,E31:I31)</f>
        <v>45.460873049405585</v>
      </c>
      <c r="D31" s="9"/>
      <c r="E31" s="9">
        <f>+C20/$C$19</f>
        <v>10</v>
      </c>
      <c r="F31" s="9">
        <f>+E31+(E21/$C$19)</f>
        <v>11.2</v>
      </c>
      <c r="G31" s="9">
        <f>+F31+(F21/$C$19)</f>
        <v>13.5</v>
      </c>
      <c r="H31" s="9">
        <f>+G31+(G21/$C$19)</f>
        <v>14.4</v>
      </c>
      <c r="I31" s="9">
        <f>+H31+(H21/$C$19)</f>
        <v>15.8</v>
      </c>
      <c r="J31" s="9"/>
    </row>
    <row r="32" spans="1:9" ht="15" customHeight="1">
      <c r="A32" s="2" t="s">
        <v>36</v>
      </c>
      <c r="C32" s="26">
        <f>NPV(WACC,E32:I32)</f>
        <v>46.208823923866234</v>
      </c>
      <c r="D32" s="9"/>
      <c r="E32" s="11">
        <f>+C20*C17</f>
        <v>12.1</v>
      </c>
      <c r="F32" s="11">
        <f>+E20*E17</f>
        <v>12.342</v>
      </c>
      <c r="G32" s="11">
        <f>+F20*F17</f>
        <v>13.7698</v>
      </c>
      <c r="H32" s="11">
        <f>+G20*G17</f>
        <v>13.225299999999999</v>
      </c>
      <c r="I32" s="11">
        <f>+H20*H17</f>
        <v>13.176899999999998</v>
      </c>
    </row>
    <row r="33" spans="2:9" ht="15" customHeight="1">
      <c r="B33" s="2"/>
      <c r="C33" s="25">
        <f>NPV(WACC,E33:I33)</f>
        <v>282.00312013052485</v>
      </c>
      <c r="D33" s="9"/>
      <c r="E33" s="9">
        <f>+E28+E31+E32</f>
        <v>72.1</v>
      </c>
      <c r="F33" s="9">
        <f>+F28+F31+F32</f>
        <v>75.29199999999999</v>
      </c>
      <c r="G33" s="9">
        <f>+G28+G31+G32</f>
        <v>80.5723</v>
      </c>
      <c r="H33" s="9">
        <f>+H28+H31+H32</f>
        <v>82.526875</v>
      </c>
      <c r="I33" s="9">
        <f>+I28+I31+I32</f>
        <v>85.52552225</v>
      </c>
    </row>
    <row r="34" spans="3:9" ht="15" customHeight="1">
      <c r="C34" s="25"/>
      <c r="D34" s="9"/>
      <c r="E34" s="9"/>
      <c r="F34" s="21">
        <f>+(F33-E33)/E33</f>
        <v>0.044271844660194085</v>
      </c>
      <c r="G34" s="21">
        <f>+(G33-F33)/F33</f>
        <v>0.0701309568081604</v>
      </c>
      <c r="H34" s="21">
        <f>+(H33-G33)/G33</f>
        <v>0.02425864720257465</v>
      </c>
      <c r="I34" s="21">
        <f>+(I33-H33)/H33</f>
        <v>0.03633540286118904</v>
      </c>
    </row>
    <row r="35" spans="1:3" ht="15" customHeight="1">
      <c r="A35" s="16" t="s">
        <v>37</v>
      </c>
      <c r="C35" s="12"/>
    </row>
    <row r="36" spans="1:9" ht="15" customHeight="1">
      <c r="A36" s="2" t="s">
        <v>3</v>
      </c>
      <c r="C36" s="25">
        <f>NPV(WACC,E36:I36)</f>
        <v>277.1789076396119</v>
      </c>
      <c r="D36" s="9"/>
      <c r="E36" s="29">
        <f>+E28+E31+E32</f>
        <v>72.1</v>
      </c>
      <c r="F36" s="9">
        <f>+E36*(1+RPI-X)*(1+alpha*deltaDemand)</f>
        <v>75.32867405</v>
      </c>
      <c r="G36" s="9">
        <f>+F36*(1+RPI-X)*(1+alpha*deltaDemand)</f>
        <v>77.7803210756313</v>
      </c>
      <c r="H36" s="9">
        <f>+G36*(1+RPI-X)*(1+alpha*deltaDemand)</f>
        <v>80.3117594053588</v>
      </c>
      <c r="I36" s="9">
        <f>+H36*(1+RPI-X)*(1+alpha*deltaDemand)</f>
        <v>82.92558592696561</v>
      </c>
    </row>
    <row r="37" spans="3:9" ht="15" customHeight="1">
      <c r="C37" s="25"/>
      <c r="D37" s="9"/>
      <c r="E37" s="9"/>
      <c r="F37" s="21">
        <f>+(F36-E36)/E36</f>
        <v>0.04478050000000013</v>
      </c>
      <c r="G37" s="21">
        <f>+(G36-F36)/F36</f>
        <v>0.03254600000000003</v>
      </c>
      <c r="H37" s="21">
        <f>+(H36-G36)/G36</f>
        <v>0.03254599999999996</v>
      </c>
      <c r="I37" s="21">
        <f>+(I36-H36)/H36</f>
        <v>0.03254600000000004</v>
      </c>
    </row>
    <row r="38" spans="1:9" ht="15" customHeight="1">
      <c r="A38" s="2" t="s">
        <v>38</v>
      </c>
      <c r="C38" s="25"/>
      <c r="D38" s="9"/>
      <c r="E38" s="9">
        <f>+E36-E33</f>
        <v>0</v>
      </c>
      <c r="F38" s="37">
        <f>+F36-F33</f>
        <v>0.03667405000001622</v>
      </c>
      <c r="G38" s="37">
        <f>G36-G33</f>
        <v>-2.791978924368692</v>
      </c>
      <c r="H38" s="37">
        <f>H36-H33</f>
        <v>-2.2151155946412047</v>
      </c>
      <c r="I38" s="37">
        <f>I36-I33</f>
        <v>-2.5999363230343846</v>
      </c>
    </row>
    <row r="39" spans="1:9" ht="15" customHeight="1">
      <c r="A39" s="33" t="s">
        <v>39</v>
      </c>
      <c r="C39" s="25">
        <f>NPV(WACC,E38:I38)</f>
        <v>-4.824212490912884</v>
      </c>
      <c r="D39" s="9"/>
      <c r="E39" s="9"/>
      <c r="F39" s="21"/>
      <c r="G39" s="21"/>
      <c r="H39" s="21"/>
      <c r="I39" s="21"/>
    </row>
    <row r="40" spans="2:9" s="42" customFormat="1" ht="15" customHeight="1">
      <c r="B40" s="43"/>
      <c r="C40" s="44"/>
      <c r="D40" s="44"/>
      <c r="E40" s="44"/>
      <c r="F40" s="45"/>
      <c r="G40" s="45"/>
      <c r="H40" s="45"/>
      <c r="I40" s="45"/>
    </row>
    <row r="41" spans="1:9" ht="15" customHeight="1">
      <c r="A41" s="33" t="s">
        <v>4</v>
      </c>
      <c r="C41" s="25"/>
      <c r="D41" s="9"/>
      <c r="E41" s="9"/>
      <c r="F41" s="21"/>
      <c r="G41" s="21"/>
      <c r="H41" s="21"/>
      <c r="I41" s="21"/>
    </row>
    <row r="42" spans="1:9" ht="15" customHeight="1">
      <c r="A42" s="2" t="s">
        <v>40</v>
      </c>
      <c r="C42" s="25"/>
      <c r="D42" s="9"/>
      <c r="E42" s="9">
        <f>E36</f>
        <v>72.1</v>
      </c>
      <c r="F42" s="9">
        <f>F36</f>
        <v>75.32867405</v>
      </c>
      <c r="G42" s="9">
        <f>G36</f>
        <v>77.7803210756313</v>
      </c>
      <c r="H42" s="9">
        <f>H36</f>
        <v>80.3117594053588</v>
      </c>
      <c r="I42" s="9">
        <f>I36</f>
        <v>82.92558592696561</v>
      </c>
    </row>
    <row r="43" spans="1:9" ht="15" customHeight="1">
      <c r="A43" s="2" t="s">
        <v>41</v>
      </c>
      <c r="C43" s="25"/>
      <c r="D43" s="9"/>
      <c r="E43" s="9">
        <f>SUM(E44:E46)</f>
        <v>62.1</v>
      </c>
      <c r="F43" s="9">
        <f>SUM(F44:F46)</f>
        <v>65.09199999999998</v>
      </c>
      <c r="G43" s="9">
        <f>SUM(G44:G46)</f>
        <v>69.19229999999999</v>
      </c>
      <c r="H43" s="9">
        <f>SUM(H44:H46)</f>
        <v>71.596875</v>
      </c>
      <c r="I43" s="9">
        <f>SUM(I44:I46)</f>
        <v>74.63552225</v>
      </c>
    </row>
    <row r="44" spans="1:9" ht="15" customHeight="1">
      <c r="A44" s="2" t="s">
        <v>42</v>
      </c>
      <c r="C44" s="25"/>
      <c r="D44" s="9"/>
      <c r="E44" s="32">
        <f>E28</f>
        <v>50</v>
      </c>
      <c r="F44" s="32">
        <f>F28</f>
        <v>51.74999999999999</v>
      </c>
      <c r="G44" s="32">
        <f>G28</f>
        <v>53.302499999999995</v>
      </c>
      <c r="H44" s="32">
        <f>H28</f>
        <v>54.901574999999994</v>
      </c>
      <c r="I44" s="32">
        <f>I28</f>
        <v>56.548622249999994</v>
      </c>
    </row>
    <row r="45" spans="1:9" ht="15" customHeight="1">
      <c r="A45" s="2" t="s">
        <v>43</v>
      </c>
      <c r="C45" s="25"/>
      <c r="D45" s="9"/>
      <c r="E45" s="32">
        <f>E31</f>
        <v>10</v>
      </c>
      <c r="F45" s="32">
        <f>F31</f>
        <v>11.2</v>
      </c>
      <c r="G45" s="32">
        <f>G31</f>
        <v>13.5</v>
      </c>
      <c r="H45" s="32">
        <f>H31</f>
        <v>14.4</v>
      </c>
      <c r="I45" s="32">
        <f>I31</f>
        <v>15.8</v>
      </c>
    </row>
    <row r="46" spans="1:9" ht="15" customHeight="1">
      <c r="A46" s="2" t="s">
        <v>44</v>
      </c>
      <c r="C46" s="25"/>
      <c r="D46" s="9"/>
      <c r="E46" s="32">
        <f>C20*C13*C16</f>
        <v>2.1</v>
      </c>
      <c r="F46" s="32">
        <f>E20*E13*E16</f>
        <v>2.142</v>
      </c>
      <c r="G46" s="32">
        <f>F20*F13*F16</f>
        <v>2.3897999999999997</v>
      </c>
      <c r="H46" s="32">
        <f>G20*G13*G16</f>
        <v>2.2952999999999997</v>
      </c>
      <c r="I46" s="32">
        <f>H20*H13*H16</f>
        <v>2.2868999999999993</v>
      </c>
    </row>
    <row r="47" spans="1:9" ht="15" customHeight="1">
      <c r="A47" s="16"/>
      <c r="C47" s="26"/>
      <c r="D47" s="9"/>
      <c r="E47" s="11"/>
      <c r="F47" s="28"/>
      <c r="G47" s="28"/>
      <c r="H47" s="28"/>
      <c r="I47" s="28"/>
    </row>
    <row r="48" spans="1:9" ht="15" customHeight="1">
      <c r="A48" s="2" t="s">
        <v>45</v>
      </c>
      <c r="C48" s="25">
        <f>NPV(WACC,E48:I48)</f>
        <v>33.3648981899683</v>
      </c>
      <c r="D48" s="9"/>
      <c r="E48" s="9">
        <f>+E42-E43</f>
        <v>9.999999999999993</v>
      </c>
      <c r="F48" s="9">
        <f>+F42-F43</f>
        <v>10.236674050000019</v>
      </c>
      <c r="G48" s="9">
        <f>+G42-G43</f>
        <v>8.588021075631318</v>
      </c>
      <c r="H48" s="9">
        <f>+H42-H43</f>
        <v>8.714884405358802</v>
      </c>
      <c r="I48" s="9">
        <f>+I42-I43</f>
        <v>8.290063676965616</v>
      </c>
    </row>
    <row r="49" spans="1:9" ht="15" customHeight="1">
      <c r="A49" s="16" t="s">
        <v>46</v>
      </c>
      <c r="C49" s="26">
        <f>NPV(WACC,E49:I49)</f>
        <v>11.677714366488908</v>
      </c>
      <c r="D49" s="9" t="s">
        <v>48</v>
      </c>
      <c r="E49" s="11">
        <f>+E48*$C$18</f>
        <v>3.4999999999999973</v>
      </c>
      <c r="F49" s="11">
        <f>+F48*$C$18</f>
        <v>3.5828359175000064</v>
      </c>
      <c r="G49" s="11">
        <f>+G48*$C$18</f>
        <v>3.005807376470961</v>
      </c>
      <c r="H49" s="11">
        <f>+H48*$C$18</f>
        <v>3.0502095418755806</v>
      </c>
      <c r="I49" s="11">
        <f>+I48*$C$18</f>
        <v>2.9015222869379653</v>
      </c>
    </row>
    <row r="50" spans="1:12" ht="15" customHeight="1">
      <c r="A50" s="6" t="s">
        <v>47</v>
      </c>
      <c r="C50" s="25">
        <f>NPV(WACC,E50:I50)</f>
        <v>21.687183823479405</v>
      </c>
      <c r="D50" s="25">
        <f>NPV($C$14,E50:I50)</f>
        <v>22.81703986327358</v>
      </c>
      <c r="E50" s="13">
        <f>+E48-E49</f>
        <v>6.499999999999996</v>
      </c>
      <c r="F50" s="13">
        <f>+F48-F49</f>
        <v>6.653838132500013</v>
      </c>
      <c r="G50" s="13">
        <f>+G48-G49</f>
        <v>5.582213699160357</v>
      </c>
      <c r="H50" s="13">
        <f>+H48-H49</f>
        <v>5.664674863483222</v>
      </c>
      <c r="I50" s="13">
        <f>+I48-I49</f>
        <v>5.388541390027651</v>
      </c>
      <c r="J50" s="40"/>
      <c r="L50" s="48">
        <f>D50/K9</f>
        <v>0.08864766167474387</v>
      </c>
    </row>
    <row r="51" spans="1:12" ht="15" customHeight="1">
      <c r="A51" s="6"/>
      <c r="C51" s="25"/>
      <c r="D51" s="13"/>
      <c r="E51" s="13"/>
      <c r="F51" s="13"/>
      <c r="G51" s="13"/>
      <c r="H51" s="13"/>
      <c r="I51" s="13"/>
      <c r="J51" s="40"/>
      <c r="L51" s="48"/>
    </row>
    <row r="52" spans="1:9" ht="15" customHeight="1">
      <c r="A52" s="2" t="s">
        <v>66</v>
      </c>
      <c r="C52" s="64">
        <f>C50/J9</f>
        <v>0.08896615765543071</v>
      </c>
      <c r="D52" s="66"/>
      <c r="E52" s="65">
        <f>E50/D9</f>
        <v>0.10833333333333325</v>
      </c>
      <c r="F52" s="65">
        <f>F50/E9</f>
        <v>0.10035954950980412</v>
      </c>
      <c r="G52" s="65">
        <f>G50/F9</f>
        <v>0.0754659145486056</v>
      </c>
      <c r="H52" s="65">
        <f>H50/G9</f>
        <v>0.07973361761535958</v>
      </c>
      <c r="I52" s="65">
        <f>I50/H9</f>
        <v>0.07612546994458784</v>
      </c>
    </row>
    <row r="53" spans="2:9" s="42" customFormat="1" ht="15" customHeight="1">
      <c r="B53" s="43"/>
      <c r="C53" s="44"/>
      <c r="D53" s="44"/>
      <c r="E53" s="44"/>
      <c r="F53" s="44"/>
      <c r="G53" s="44"/>
      <c r="H53" s="44"/>
      <c r="I53" s="44"/>
    </row>
    <row r="54" spans="1:9" ht="15" customHeight="1">
      <c r="A54" s="34" t="s">
        <v>49</v>
      </c>
      <c r="C54" s="25"/>
      <c r="D54" s="9"/>
      <c r="E54" s="13"/>
      <c r="F54" s="13"/>
      <c r="G54" s="13"/>
      <c r="H54" s="13"/>
      <c r="I54" s="13"/>
    </row>
    <row r="55" spans="1:9" ht="15" customHeight="1">
      <c r="A55" s="6" t="s">
        <v>50</v>
      </c>
      <c r="C55" s="25"/>
      <c r="D55" s="9"/>
      <c r="E55" s="13">
        <f>E50+E45</f>
        <v>16.499999999999996</v>
      </c>
      <c r="F55" s="13">
        <f>F50+F45</f>
        <v>17.853838132500012</v>
      </c>
      <c r="G55" s="13">
        <f>G50+G45</f>
        <v>19.082213699160356</v>
      </c>
      <c r="H55" s="13">
        <f>H50+H45</f>
        <v>20.064674863483223</v>
      </c>
      <c r="I55" s="13">
        <f>I50+I45</f>
        <v>21.188541390027652</v>
      </c>
    </row>
    <row r="56" spans="1:9" ht="15" customHeight="1">
      <c r="A56" s="6" t="s">
        <v>51</v>
      </c>
      <c r="C56" s="25"/>
      <c r="D56" s="9"/>
      <c r="E56" s="13">
        <f>E21*C12</f>
        <v>7.800000000000001</v>
      </c>
      <c r="F56" s="13">
        <f>F21*E12</f>
        <v>14.950000000000001</v>
      </c>
      <c r="G56" s="13">
        <f>G21*F12</f>
        <v>5.8500000000000005</v>
      </c>
      <c r="H56" s="13">
        <f>H21*G12</f>
        <v>9.1</v>
      </c>
      <c r="I56" s="13">
        <f>I21*H12</f>
        <v>3.9000000000000004</v>
      </c>
    </row>
    <row r="57" spans="1:9" ht="15" customHeight="1">
      <c r="A57" s="6" t="s">
        <v>52</v>
      </c>
      <c r="C57" s="25"/>
      <c r="D57" s="9"/>
      <c r="E57" s="13">
        <f>E21*C13</f>
        <v>4.199999999999999</v>
      </c>
      <c r="F57" s="13">
        <f>F21*E13</f>
        <v>8.05</v>
      </c>
      <c r="G57" s="13">
        <f>G21*F13</f>
        <v>3.15</v>
      </c>
      <c r="H57" s="13">
        <f>H21*G13</f>
        <v>4.8999999999999995</v>
      </c>
      <c r="I57" s="13">
        <f>I21*H13</f>
        <v>2.0999999999999996</v>
      </c>
    </row>
    <row r="58" spans="1:9" ht="15" customHeight="1">
      <c r="A58" s="6" t="s">
        <v>53</v>
      </c>
      <c r="C58" s="25"/>
      <c r="D58" s="9"/>
      <c r="E58" s="13">
        <f>E57-(E20-C20)*C13</f>
        <v>3.499999999999999</v>
      </c>
      <c r="F58" s="13">
        <f>F57-(F20-E20)*E13</f>
        <v>3.9200000000000017</v>
      </c>
      <c r="G58" s="13">
        <f>G57-(G20-F20)*F13</f>
        <v>4.725</v>
      </c>
      <c r="H58" s="13">
        <f>H57-(H20-G20)*G13</f>
        <v>5.040000000000002</v>
      </c>
      <c r="I58" s="13">
        <f>I57-(I20-H20)*H13</f>
        <v>5.529999999999998</v>
      </c>
    </row>
    <row r="59" spans="1:9" ht="15" customHeight="1">
      <c r="A59" s="6" t="s">
        <v>54</v>
      </c>
      <c r="C59" s="25"/>
      <c r="D59" s="9"/>
      <c r="E59" s="13">
        <f>E55-E56-E58</f>
        <v>5.199999999999997</v>
      </c>
      <c r="F59" s="13">
        <f>F55-F56-F58</f>
        <v>-1.0161618674999904</v>
      </c>
      <c r="G59" s="13">
        <f>G55-G56-G58</f>
        <v>8.507213699160355</v>
      </c>
      <c r="H59" s="13">
        <f>H55-H56-H58</f>
        <v>5.924674863483221</v>
      </c>
      <c r="I59" s="13">
        <f>I55-I56-I58</f>
        <v>11.758541390027656</v>
      </c>
    </row>
    <row r="60" spans="2:9" s="42" customFormat="1" ht="15" customHeight="1">
      <c r="B60" s="43"/>
      <c r="C60" s="44"/>
      <c r="D60" s="44"/>
      <c r="E60" s="44"/>
      <c r="F60" s="44"/>
      <c r="G60" s="44"/>
      <c r="H60" s="44"/>
      <c r="I60" s="44"/>
    </row>
    <row r="61" spans="1:10" ht="15" customHeight="1">
      <c r="A61" s="34" t="s">
        <v>55</v>
      </c>
      <c r="C61" s="13"/>
      <c r="D61" s="9"/>
      <c r="E61" s="13"/>
      <c r="F61" s="13"/>
      <c r="G61" s="13"/>
      <c r="H61" s="13"/>
      <c r="I61" s="13"/>
      <c r="J61" s="6"/>
    </row>
    <row r="62" spans="1:10" ht="15" customHeight="1">
      <c r="A62" s="2" t="s">
        <v>59</v>
      </c>
      <c r="C62" s="6"/>
      <c r="J62" s="6"/>
    </row>
    <row r="63" spans="1:10" ht="15" customHeight="1">
      <c r="A63" s="2" t="s">
        <v>67</v>
      </c>
      <c r="C63" s="6"/>
      <c r="D63" s="27"/>
      <c r="E63" s="9"/>
      <c r="F63" s="9"/>
      <c r="G63" s="9"/>
      <c r="H63" s="9"/>
      <c r="I63" s="9"/>
      <c r="J63" s="6"/>
    </row>
    <row r="64" spans="1:10" ht="15" customHeight="1">
      <c r="A64" s="2" t="s">
        <v>68</v>
      </c>
      <c r="C64" s="46"/>
      <c r="J64" s="6"/>
    </row>
    <row r="65" spans="1:10" ht="15" customHeight="1">
      <c r="A65" s="2" t="s">
        <v>0</v>
      </c>
      <c r="J65" s="6"/>
    </row>
    <row r="67" spans="1:9" ht="15" customHeight="1" hidden="1">
      <c r="A67" s="6" t="s">
        <v>6</v>
      </c>
      <c r="C67" s="25">
        <f>NPV($C$17,E67:I67)</f>
        <v>2.19046062377323</v>
      </c>
      <c r="D67" s="13"/>
      <c r="E67" s="13">
        <f>+E21-E31</f>
        <v>2</v>
      </c>
      <c r="F67" s="13">
        <f>+F21-F31</f>
        <v>11.8</v>
      </c>
      <c r="G67" s="13">
        <f>+G21-G31</f>
        <v>-4.5</v>
      </c>
      <c r="H67" s="13">
        <f>+H21-H31</f>
        <v>-0.40000000000000036</v>
      </c>
      <c r="I67" s="13">
        <f>+I21-I31</f>
        <v>-9.8</v>
      </c>
    </row>
  </sheetData>
  <sheetProtection/>
  <printOptions horizontalCentered="1" verticalCentered="1"/>
  <pageMargins left="0.75" right="0.75" top="1" bottom="1" header="0" footer="0"/>
  <pageSetup fitToHeight="1" fitToWidth="1" horizontalDpi="600" verticalDpi="600" orientation="landscape" paperSize="9" scale="59"/>
  <drawing r:id="rId1"/>
</worksheet>
</file>

<file path=xl/worksheets/sheet2.xml><?xml version="1.0" encoding="utf-8"?>
<worksheet xmlns="http://schemas.openxmlformats.org/spreadsheetml/2006/main" xmlns:r="http://schemas.openxmlformats.org/officeDocument/2006/relationships">
  <sheetPr codeName="Hoja2"/>
  <dimension ref="A1:K35"/>
  <sheetViews>
    <sheetView zoomScale="125" zoomScaleNormal="125" zoomScalePageLayoutView="0" workbookViewId="0" topLeftCell="A1">
      <selection activeCell="D38" sqref="D38"/>
    </sheetView>
  </sheetViews>
  <sheetFormatPr defaultColWidth="11.421875" defaultRowHeight="12.75"/>
  <sheetData>
    <row r="1" spans="1:6" ht="12.75">
      <c r="A1" t="s">
        <v>62</v>
      </c>
      <c r="B1">
        <v>1</v>
      </c>
      <c r="C1">
        <v>2</v>
      </c>
      <c r="D1">
        <v>3</v>
      </c>
      <c r="E1">
        <v>4</v>
      </c>
      <c r="F1">
        <v>5</v>
      </c>
    </row>
    <row r="2" spans="1:6" ht="12.75">
      <c r="A2" t="s">
        <v>61</v>
      </c>
      <c r="B2" s="63">
        <f>'RPI-X'!E33</f>
        <v>72.1</v>
      </c>
      <c r="C2" s="63">
        <f>'RPI-X'!F33</f>
        <v>75.29199999999999</v>
      </c>
      <c r="D2" s="63">
        <f>'RPI-X'!G33</f>
        <v>80.5723</v>
      </c>
      <c r="E2" s="63">
        <f>'RPI-X'!H33</f>
        <v>82.526875</v>
      </c>
      <c r="F2" s="63">
        <f>'RPI-X'!I33</f>
        <v>85.52552225</v>
      </c>
    </row>
    <row r="3" spans="1:6" ht="12.75">
      <c r="A3" t="s">
        <v>63</v>
      </c>
      <c r="B3" s="63">
        <f>'RPI-X'!E36</f>
        <v>72.1</v>
      </c>
      <c r="C3" s="63">
        <f>'RPI-X'!F36</f>
        <v>75.32867405</v>
      </c>
      <c r="D3" s="63">
        <f>'RPI-X'!G36</f>
        <v>77.7803210756313</v>
      </c>
      <c r="E3" s="63">
        <f>'RPI-X'!H36</f>
        <v>80.3117594053588</v>
      </c>
      <c r="F3" s="63">
        <f>'RPI-X'!I36</f>
        <v>82.92558592696561</v>
      </c>
    </row>
    <row r="35" spans="4:11" ht="36.75" customHeight="1">
      <c r="D35" s="67" t="s">
        <v>64</v>
      </c>
      <c r="E35" s="67"/>
      <c r="F35" s="67"/>
      <c r="G35" s="67"/>
      <c r="H35" s="67"/>
      <c r="I35" s="67"/>
      <c r="J35" s="67"/>
      <c r="K35" s="67"/>
    </row>
  </sheetData>
  <sheetProtection/>
  <mergeCells count="1">
    <mergeCell ref="D35:K35"/>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3"/>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PROPUESTA DE REMUNERACIÓN DE LA DISTRIBUCIÓN</dc:title>
  <dc:subject/>
  <dc:creator>ASUNCIÓN NÚÑEZ</dc:creator>
  <cp:keywords/>
  <dc:description/>
  <cp:lastModifiedBy>Elaina Cherry</cp:lastModifiedBy>
  <cp:lastPrinted>2004-11-14T22:05:08Z</cp:lastPrinted>
  <dcterms:created xsi:type="dcterms:W3CDTF">2002-12-07T15:02:12Z</dcterms:created>
  <dcterms:modified xsi:type="dcterms:W3CDTF">2010-10-28T15:58:57Z</dcterms:modified>
  <cp:category/>
  <cp:version/>
  <cp:contentType/>
  <cp:contentStatus/>
</cp:coreProperties>
</file>